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codeName="ThisWorkbook" defaultThemeVersion="124226"/>
  <mc:AlternateContent xmlns:mc="http://schemas.openxmlformats.org/markup-compatibility/2006">
    <mc:Choice Requires="x15">
      <x15ac:absPath xmlns:x15ac="http://schemas.microsoft.com/office/spreadsheetml/2010/11/ac" url="C:\Users\83451\Dropbox\Syndicat\CFARR\Renouvèlement 2024\"/>
    </mc:Choice>
  </mc:AlternateContent>
  <xr:revisionPtr revIDLastSave="0" documentId="8_{FFA6D6AF-E35E-4969-BAC6-57D30837BA74}" xr6:coauthVersionLast="47" xr6:coauthVersionMax="47" xr10:uidLastSave="{00000000-0000-0000-0000-000000000000}"/>
  <workbookProtection lockStructure="1"/>
  <bookViews>
    <workbookView xWindow="-120" yWindow="-120" windowWidth="25440" windowHeight="15390" tabRatio="707" xr2:uid="{00000000-000D-0000-FFFF-FFFF00000000}"/>
  </bookViews>
  <sheets>
    <sheet name="Calculateur" sheetId="1" r:id="rId1"/>
    <sheet name="Calculator" sheetId="9" state="hidden" r:id="rId2"/>
    <sheet name="Nouveau taux" sheetId="5" state="hidden" r:id="rId3"/>
    <sheet name="Taux" sheetId="2" state="hidden" r:id="rId4"/>
    <sheet name="Taux anglais" sheetId="8" state="hidden" r:id="rId5"/>
  </sheets>
  <definedNames>
    <definedName name="Courte_LaSalle">Taux!$C$32</definedName>
    <definedName name="Courte_Laval">Taux!$C$31</definedName>
    <definedName name="Courte_Les_autres">Taux!$C$35</definedName>
    <definedName name="Courte_Trinité">Taux!$C$33</definedName>
    <definedName name="Taux_courte">Taux!$B$31:$C$36</definedName>
    <definedName name="Taux_courte_anglais">'Taux anglais'!$B$32:$C$37</definedName>
    <definedName name="_xlnm.Print_Area" localSheetId="0">Calculateur!$A$3:$AD$123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Q3" i="9" l="1"/>
  <c r="AB52" i="9"/>
  <c r="V49" i="9"/>
  <c r="V60" i="9" s="1"/>
  <c r="V50" i="1"/>
  <c r="V61" i="1"/>
  <c r="B93" i="1"/>
  <c r="P49" i="2" s="1"/>
  <c r="B92" i="9"/>
  <c r="B104" i="9"/>
  <c r="B105" i="1"/>
  <c r="B87" i="9"/>
  <c r="B88" i="1"/>
  <c r="N84" i="1"/>
  <c r="C32" i="2"/>
  <c r="C33" i="2"/>
  <c r="C34" i="2"/>
  <c r="C35" i="2"/>
  <c r="C36" i="8" s="1"/>
  <c r="C36" i="2"/>
  <c r="C31" i="2"/>
  <c r="C32" i="8" s="1"/>
  <c r="C35" i="8"/>
  <c r="C34" i="8"/>
  <c r="C33" i="8"/>
  <c r="Q4" i="2"/>
  <c r="Q5" i="2"/>
  <c r="Q6" i="2"/>
  <c r="Q7" i="2"/>
  <c r="P5" i="2"/>
  <c r="P6" i="2"/>
  <c r="P7" i="2"/>
  <c r="P4" i="2"/>
  <c r="K28" i="2"/>
  <c r="Q39" i="2"/>
  <c r="R39" i="2"/>
  <c r="S39" i="2"/>
  <c r="T39" i="2"/>
  <c r="Q40" i="2"/>
  <c r="R40" i="2"/>
  <c r="S40" i="2"/>
  <c r="T40" i="2"/>
  <c r="Q41" i="2"/>
  <c r="R41" i="2"/>
  <c r="S41" i="2"/>
  <c r="T41" i="2"/>
  <c r="Q42" i="2"/>
  <c r="R42" i="2"/>
  <c r="S42" i="2"/>
  <c r="T42" i="2"/>
  <c r="Q43" i="2"/>
  <c r="R43" i="2"/>
  <c r="S43" i="2"/>
  <c r="T43" i="2"/>
  <c r="Q44" i="2"/>
  <c r="R44" i="2"/>
  <c r="S44" i="2"/>
  <c r="T44" i="2"/>
  <c r="Q45" i="2"/>
  <c r="R45" i="2"/>
  <c r="S45" i="2"/>
  <c r="T45" i="2"/>
  <c r="Q46" i="2"/>
  <c r="R46" i="2"/>
  <c r="S46" i="2"/>
  <c r="T46" i="2"/>
  <c r="Q47" i="2"/>
  <c r="R47" i="2"/>
  <c r="S47" i="2"/>
  <c r="T47" i="2"/>
  <c r="R38" i="2"/>
  <c r="S38" i="2"/>
  <c r="T38" i="2"/>
  <c r="Q38" i="2"/>
  <c r="C37" i="8"/>
  <c r="H16" i="2"/>
  <c r="I16" i="2"/>
  <c r="H17" i="2"/>
  <c r="I17" i="2"/>
  <c r="H18" i="2"/>
  <c r="I18" i="2"/>
  <c r="H19" i="2"/>
  <c r="I19" i="2"/>
  <c r="G17" i="2"/>
  <c r="G18" i="2"/>
  <c r="G19" i="2"/>
  <c r="G16" i="2"/>
  <c r="H10" i="2"/>
  <c r="I10" i="2"/>
  <c r="H11" i="2"/>
  <c r="I11" i="2"/>
  <c r="H12" i="2"/>
  <c r="I12" i="2"/>
  <c r="H13" i="2"/>
  <c r="I13" i="2"/>
  <c r="G11" i="2"/>
  <c r="G12" i="2"/>
  <c r="G13" i="2"/>
  <c r="G10" i="2"/>
  <c r="H4" i="2"/>
  <c r="I4" i="2"/>
  <c r="H5" i="2"/>
  <c r="I5" i="2"/>
  <c r="H6" i="2"/>
  <c r="I6" i="2"/>
  <c r="H7" i="2"/>
  <c r="I7" i="2"/>
  <c r="G5" i="2"/>
  <c r="G6" i="2"/>
  <c r="G7" i="2"/>
  <c r="G4" i="2"/>
  <c r="W19" i="9" l="1"/>
  <c r="W19" i="1"/>
  <c r="D25" i="9"/>
  <c r="D25" i="1"/>
  <c r="V7" i="9"/>
  <c r="M7" i="9"/>
  <c r="M19" i="9"/>
  <c r="W9" i="1"/>
  <c r="M9" i="1"/>
  <c r="M19" i="1"/>
  <c r="F27" i="8"/>
  <c r="O36" i="9"/>
  <c r="D42" i="9"/>
  <c r="O37" i="1"/>
  <c r="D43" i="1"/>
  <c r="F27" i="2" s="1"/>
  <c r="D41" i="1"/>
  <c r="G27" i="2" l="1"/>
  <c r="V30" i="1" s="1"/>
  <c r="M7" i="5"/>
  <c r="M5" i="5"/>
  <c r="Q15" i="2" s="1"/>
  <c r="M6" i="5"/>
  <c r="Q16" i="2" s="1"/>
  <c r="P25" i="2" l="1"/>
  <c r="P25" i="8"/>
  <c r="C20" i="5" l="1"/>
  <c r="C22" i="5"/>
  <c r="C9" i="8" l="1"/>
  <c r="S19" i="9" s="1"/>
  <c r="C9" i="2"/>
  <c r="S19" i="1" s="1"/>
  <c r="G27" i="8" l="1"/>
  <c r="V29" i="9" s="1"/>
  <c r="D39" i="1" l="1"/>
  <c r="D37" i="1"/>
  <c r="D35" i="1"/>
  <c r="D40" i="9"/>
  <c r="D38" i="9"/>
  <c r="D36" i="9"/>
  <c r="D34" i="9"/>
  <c r="L46" i="2"/>
  <c r="B94" i="1" l="1"/>
  <c r="B110" i="9" l="1"/>
  <c r="B93" i="9"/>
  <c r="Q5" i="9"/>
  <c r="D6" i="8"/>
  <c r="D9" i="8" s="1"/>
  <c r="D6" i="2"/>
  <c r="D9" i="2" s="1"/>
  <c r="R19" i="8" l="1"/>
  <c r="W62" i="9" s="1"/>
  <c r="R19" i="2"/>
  <c r="W63" i="1" s="1"/>
  <c r="V4" i="9"/>
  <c r="R4" i="9"/>
  <c r="L4" i="9"/>
  <c r="B111" i="1"/>
  <c r="L4" i="1"/>
  <c r="D66" i="1" l="1"/>
  <c r="Q6" i="1" l="1"/>
  <c r="V4" i="1"/>
  <c r="R4" i="1"/>
  <c r="Q3" i="1" s="1"/>
  <c r="P49" i="8"/>
  <c r="AC37" i="1" l="1"/>
  <c r="AC39" i="1" l="1"/>
  <c r="AC41" i="1"/>
  <c r="E22" i="5"/>
  <c r="D22" i="5"/>
  <c r="E21" i="5"/>
  <c r="D21" i="5"/>
  <c r="E20" i="5"/>
  <c r="D20" i="5"/>
  <c r="E19" i="5"/>
  <c r="D19" i="5"/>
  <c r="AA27" i="1"/>
  <c r="X107" i="9" l="1"/>
  <c r="W50" i="8" s="1"/>
  <c r="X100" i="9"/>
  <c r="M107" i="9"/>
  <c r="M100" i="9"/>
  <c r="F100" i="9"/>
  <c r="W38" i="8"/>
  <c r="W39" i="8" s="1"/>
  <c r="W40" i="8" s="1"/>
  <c r="W41" i="8" s="1"/>
  <c r="W42" i="8" s="1"/>
  <c r="W43" i="8" s="1"/>
  <c r="W44" i="8" s="1"/>
  <c r="W45" i="8" s="1"/>
  <c r="W46" i="8" s="1"/>
  <c r="V38" i="8"/>
  <c r="V39" i="8" s="1"/>
  <c r="V40" i="8" s="1"/>
  <c r="V41" i="8" s="1"/>
  <c r="V42" i="8" s="1"/>
  <c r="V43" i="8" s="1"/>
  <c r="P51" i="8"/>
  <c r="X90" i="9"/>
  <c r="W48" i="8" s="1"/>
  <c r="X83" i="9"/>
  <c r="M90" i="9"/>
  <c r="M83" i="9"/>
  <c r="F83" i="9"/>
  <c r="F73" i="9"/>
  <c r="W56" i="9"/>
  <c r="Q17" i="8"/>
  <c r="F60" i="9"/>
  <c r="F47" i="9"/>
  <c r="N40" i="8"/>
  <c r="N46" i="8"/>
  <c r="N54" i="8"/>
  <c r="L54" i="8"/>
  <c r="L46" i="8"/>
  <c r="L40" i="8"/>
  <c r="L28" i="8"/>
  <c r="L18" i="8"/>
  <c r="L9" i="8"/>
  <c r="I31" i="8"/>
  <c r="B9" i="8"/>
  <c r="Q18" i="8" l="1"/>
  <c r="V69" i="9"/>
  <c r="S58" i="9"/>
  <c r="D65" i="9"/>
  <c r="Y83" i="9"/>
  <c r="Y100" i="9"/>
  <c r="V45" i="8"/>
  <c r="Y80" i="9" s="1"/>
  <c r="Y97" i="9"/>
  <c r="V47" i="8"/>
  <c r="S56" i="9"/>
  <c r="M54" i="8"/>
  <c r="O54" i="8"/>
  <c r="N21" i="8" l="1"/>
  <c r="V62" i="9" s="1"/>
  <c r="R45" i="8"/>
  <c r="R44" i="8"/>
  <c r="R42" i="8"/>
  <c r="Q38" i="8"/>
  <c r="Q21" i="8" l="1"/>
  <c r="R50" i="8"/>
  <c r="R39" i="8"/>
  <c r="R43" i="8"/>
  <c r="R46" i="8"/>
  <c r="S38" i="8"/>
  <c r="S39" i="8"/>
  <c r="S40" i="8"/>
  <c r="S41" i="8"/>
  <c r="S42" i="8"/>
  <c r="S43" i="8"/>
  <c r="S44" i="8"/>
  <c r="S45" i="8"/>
  <c r="S46" i="8"/>
  <c r="S47" i="8"/>
  <c r="R38" i="8"/>
  <c r="R41" i="8"/>
  <c r="T38" i="8"/>
  <c r="T39" i="8"/>
  <c r="T40" i="8"/>
  <c r="T41" i="8"/>
  <c r="T42" i="8"/>
  <c r="T43" i="8"/>
  <c r="T44" i="8"/>
  <c r="T45" i="8"/>
  <c r="T46" i="8"/>
  <c r="T47" i="8"/>
  <c r="R40" i="8"/>
  <c r="R47" i="8"/>
  <c r="Q39" i="8"/>
  <c r="Q40" i="8"/>
  <c r="Q41" i="8"/>
  <c r="Q42" i="8"/>
  <c r="Q43" i="8"/>
  <c r="Q44" i="8"/>
  <c r="Q45" i="8"/>
  <c r="Q46" i="8"/>
  <c r="Q47" i="8"/>
  <c r="K28" i="8"/>
  <c r="I33" i="8" s="1"/>
  <c r="V46" i="9" s="1"/>
  <c r="AB49" i="9" s="1"/>
  <c r="V80" i="9" l="1"/>
  <c r="AB90" i="9" s="1"/>
  <c r="AB93" i="9" s="1"/>
  <c r="R52" i="8"/>
  <c r="V97" i="9" s="1"/>
  <c r="AB107" i="9" s="1"/>
  <c r="AB110" i="9" s="1"/>
  <c r="G4" i="8"/>
  <c r="AB51" i="9"/>
  <c r="AB36" i="9"/>
  <c r="AB40" i="9" s="1"/>
  <c r="AB109" i="9" l="1"/>
  <c r="AB92" i="9"/>
  <c r="AB38" i="9"/>
  <c r="Q16" i="8"/>
  <c r="P5" i="8"/>
  <c r="P6" i="8"/>
  <c r="P7" i="8"/>
  <c r="O11" i="8" s="1"/>
  <c r="AB23" i="9" s="1"/>
  <c r="I10" i="8"/>
  <c r="G13" i="8"/>
  <c r="I12" i="8"/>
  <c r="H11" i="8"/>
  <c r="I7" i="8"/>
  <c r="H7" i="8"/>
  <c r="F22" i="8" s="1"/>
  <c r="G7" i="8"/>
  <c r="H6" i="8"/>
  <c r="G6" i="8"/>
  <c r="I5" i="8"/>
  <c r="H5" i="8"/>
  <c r="G5" i="8"/>
  <c r="I4" i="8"/>
  <c r="H4" i="8"/>
  <c r="Q7" i="8"/>
  <c r="Q6" i="8"/>
  <c r="Q5" i="8"/>
  <c r="Q4" i="8"/>
  <c r="P4" i="8"/>
  <c r="I19" i="8"/>
  <c r="H19" i="8"/>
  <c r="G19" i="8"/>
  <c r="H18" i="8"/>
  <c r="G18" i="8"/>
  <c r="I17" i="8"/>
  <c r="H17" i="8"/>
  <c r="G17" i="8"/>
  <c r="I16" i="8"/>
  <c r="H16" i="8"/>
  <c r="K103" i="1"/>
  <c r="K101" i="1"/>
  <c r="D103" i="1"/>
  <c r="D101" i="1"/>
  <c r="K86" i="1"/>
  <c r="K84" i="1"/>
  <c r="D86" i="1"/>
  <c r="D84" i="1"/>
  <c r="D63" i="1"/>
  <c r="D61" i="1"/>
  <c r="D23" i="1"/>
  <c r="D21" i="1"/>
  <c r="D19" i="1"/>
  <c r="S15" i="1"/>
  <c r="S13" i="1"/>
  <c r="S11" i="1"/>
  <c r="S9" i="1"/>
  <c r="D15" i="1"/>
  <c r="D13" i="1"/>
  <c r="D11" i="1"/>
  <c r="D9" i="1"/>
  <c r="N46" i="2"/>
  <c r="K108" i="1" s="1"/>
  <c r="N40" i="2"/>
  <c r="L40" i="2"/>
  <c r="F61" i="1"/>
  <c r="Y108" i="1"/>
  <c r="W50" i="2" s="1"/>
  <c r="N108" i="1"/>
  <c r="Y101" i="1"/>
  <c r="V47" i="2" s="1"/>
  <c r="N101" i="1"/>
  <c r="F101" i="1"/>
  <c r="N91" i="1"/>
  <c r="F84" i="1"/>
  <c r="K93" i="1"/>
  <c r="O60" i="2"/>
  <c r="O61" i="2" s="1"/>
  <c r="Y91" i="1"/>
  <c r="W48" i="2" s="1"/>
  <c r="Y84" i="1"/>
  <c r="V45" i="2" s="1"/>
  <c r="L28" i="2"/>
  <c r="F74" i="1"/>
  <c r="D76" i="1"/>
  <c r="D74" i="1"/>
  <c r="X57" i="1"/>
  <c r="S59" i="1"/>
  <c r="L18" i="2"/>
  <c r="V70" i="1" s="1"/>
  <c r="D50" i="1"/>
  <c r="D48" i="1"/>
  <c r="I31" i="2" s="1"/>
  <c r="I33" i="2" s="1"/>
  <c r="F48" i="1"/>
  <c r="L9" i="2"/>
  <c r="AB11" i="9" l="1"/>
  <c r="AB15" i="9" s="1"/>
  <c r="AB26" i="9"/>
  <c r="D16" i="8"/>
  <c r="F24" i="8"/>
  <c r="G10" i="8"/>
  <c r="C17" i="8"/>
  <c r="B19" i="8"/>
  <c r="H12" i="8"/>
  <c r="C18" i="8" s="1"/>
  <c r="G16" i="8"/>
  <c r="H13" i="8"/>
  <c r="C19" i="8" s="1"/>
  <c r="G12" i="8"/>
  <c r="B18" i="8" s="1"/>
  <c r="I18" i="8"/>
  <c r="D18" i="8" s="1"/>
  <c r="G11" i="8"/>
  <c r="B17" i="8" s="1"/>
  <c r="I13" i="8"/>
  <c r="D19" i="8" s="1"/>
  <c r="I6" i="8"/>
  <c r="H10" i="8"/>
  <c r="C16" i="8" s="1"/>
  <c r="I11" i="8"/>
  <c r="D17" i="8" s="1"/>
  <c r="K110" i="1"/>
  <c r="N54" i="2" s="1"/>
  <c r="O54" i="2" s="1"/>
  <c r="K91" i="1"/>
  <c r="L54" i="2" s="1"/>
  <c r="M54" i="2" s="1"/>
  <c r="S57" i="1"/>
  <c r="N21" i="2" s="1"/>
  <c r="O62" i="2"/>
  <c r="O63" i="2" s="1"/>
  <c r="O64" i="2" s="1"/>
  <c r="O65" i="2" s="1"/>
  <c r="O66" i="2" s="1"/>
  <c r="O67" i="2" s="1"/>
  <c r="O68" i="2" s="1"/>
  <c r="O69" i="2" s="1"/>
  <c r="O70" i="2" s="1"/>
  <c r="O71" i="2" s="1"/>
  <c r="O72" i="2" s="1"/>
  <c r="O73" i="2" s="1"/>
  <c r="O74" i="2" s="1"/>
  <c r="O75" i="2" s="1"/>
  <c r="O76" i="2" s="1"/>
  <c r="O77" i="2" s="1"/>
  <c r="O78" i="2" s="1"/>
  <c r="O79" i="2" s="1"/>
  <c r="O80" i="2" s="1"/>
  <c r="O81" i="2" s="1"/>
  <c r="O82" i="2" s="1"/>
  <c r="O83" i="2" s="1"/>
  <c r="O84" i="2" s="1"/>
  <c r="O85" i="2" s="1"/>
  <c r="O86" i="2" s="1"/>
  <c r="O87" i="2" s="1"/>
  <c r="O88" i="2" s="1"/>
  <c r="O89" i="2" s="1"/>
  <c r="O90" i="2" s="1"/>
  <c r="O91" i="2" s="1"/>
  <c r="O92" i="2" s="1"/>
  <c r="O93" i="2" s="1"/>
  <c r="O94" i="2" s="1"/>
  <c r="O95" i="2" s="1"/>
  <c r="O96" i="2" s="1"/>
  <c r="O97" i="2" s="1"/>
  <c r="O98" i="2" s="1"/>
  <c r="O99" i="2" s="1"/>
  <c r="O100" i="2" s="1"/>
  <c r="O101" i="2" s="1"/>
  <c r="O102" i="2" s="1"/>
  <c r="O103" i="2" s="1"/>
  <c r="O104" i="2" s="1"/>
  <c r="O105" i="2" s="1"/>
  <c r="O106" i="2" s="1"/>
  <c r="O107" i="2" s="1"/>
  <c r="O108" i="2" s="1"/>
  <c r="O109" i="2" s="1"/>
  <c r="O110" i="2" s="1"/>
  <c r="G78" i="1"/>
  <c r="Z98" i="1"/>
  <c r="Z101" i="1"/>
  <c r="Z84" i="1"/>
  <c r="R50" i="2" l="1"/>
  <c r="X31" i="2"/>
  <c r="B16" i="2"/>
  <c r="AB25" i="9"/>
  <c r="B16" i="8"/>
  <c r="AB13" i="9"/>
  <c r="P51" i="2"/>
  <c r="R52" i="2" s="1"/>
  <c r="B9" i="2"/>
  <c r="V98" i="1" l="1"/>
  <c r="AC108" i="1" s="1"/>
  <c r="AC111" i="1" s="1"/>
  <c r="Z81" i="1"/>
  <c r="AC110" i="1" l="1"/>
  <c r="C16" i="2"/>
  <c r="D16" i="2"/>
  <c r="C17" i="2"/>
  <c r="D17" i="2"/>
  <c r="C18" i="2"/>
  <c r="D18" i="2"/>
  <c r="C19" i="2"/>
  <c r="D19" i="2"/>
  <c r="B17" i="2"/>
  <c r="B18" i="2"/>
  <c r="B19" i="2"/>
  <c r="V47" i="1"/>
  <c r="AC50" i="1" s="1"/>
  <c r="AC53" i="1" s="1"/>
  <c r="V81" i="1"/>
  <c r="AC91" i="1" s="1"/>
  <c r="AC94" i="1" s="1"/>
  <c r="L30" i="2"/>
  <c r="V38" i="2"/>
  <c r="V39" i="2" s="1"/>
  <c r="V40" i="2" s="1"/>
  <c r="V41" i="2" s="1"/>
  <c r="V42" i="2" s="1"/>
  <c r="V43" i="2" s="1"/>
  <c r="W38" i="2"/>
  <c r="W39" i="2" s="1"/>
  <c r="W40" i="2" s="1"/>
  <c r="W41" i="2" s="1"/>
  <c r="W42" i="2" s="1"/>
  <c r="W43" i="2" s="1"/>
  <c r="W44" i="2" s="1"/>
  <c r="W45" i="2" s="1"/>
  <c r="W46" i="2" s="1"/>
  <c r="AC74" i="1" l="1"/>
  <c r="AC78" i="1" s="1"/>
  <c r="L30" i="8"/>
  <c r="AB73" i="9" s="1"/>
  <c r="AB76" i="9" s="1"/>
  <c r="F22" i="2"/>
  <c r="AC11" i="1" s="1"/>
  <c r="AC15" i="1" s="1"/>
  <c r="AC93" i="1"/>
  <c r="AC13" i="1" l="1"/>
  <c r="AC76" i="1"/>
  <c r="AB75" i="9"/>
  <c r="F24" i="2"/>
  <c r="O11" i="2"/>
  <c r="AC23" i="1" s="1"/>
  <c r="AC52" i="1"/>
  <c r="AC26" i="1" l="1"/>
  <c r="AC25" i="1" l="1"/>
  <c r="Q17" i="2" l="1"/>
  <c r="Q18" i="2" s="1"/>
  <c r="V63" i="1" l="1"/>
  <c r="M21" i="2" l="1"/>
  <c r="Q15" i="8"/>
  <c r="L20" i="2"/>
  <c r="V68" i="1" s="1"/>
  <c r="AC66" i="1" s="1"/>
  <c r="AC70" i="1" s="1"/>
  <c r="M21" i="8" l="1"/>
  <c r="L20" i="8"/>
  <c r="V67" i="9" s="1"/>
  <c r="AB65" i="9" s="1"/>
  <c r="AB67" i="9" s="1"/>
  <c r="AC114" i="1" l="1"/>
  <c r="AC115" i="1" s="1"/>
  <c r="AC116" i="1" s="1"/>
  <c r="AC120" i="1" s="1"/>
  <c r="AC122" i="1" s="1"/>
  <c r="AC68" i="1"/>
  <c r="AB69" i="9"/>
  <c r="AB113" i="9"/>
  <c r="AB114" i="9" s="1"/>
  <c r="AB115" i="9" s="1"/>
  <c r="AB119" i="9" s="1"/>
  <c r="AB121" i="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Daniel Légaré</author>
  </authors>
  <commentList>
    <comment ref="L6" authorId="0" shapeId="0" xr:uid="{00000000-0006-0000-0200-000001000000}">
      <text>
        <r>
          <rPr>
            <b/>
            <sz val="9"/>
            <color indexed="81"/>
            <rFont val="Tahoma"/>
            <family val="2"/>
          </rPr>
          <t>Daniel Légaré:
La prime est de 3,52 $ à laquelle on applique un congé de prime de 50 %.
Le taux par mile : Prime/25</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tc={B028F132-4C2E-4520-B3E4-8206E88E59B2}</author>
  </authors>
  <commentList>
    <comment ref="L11" authorId="0" shapeId="0" xr:uid="{B028F132-4C2E-4520-B3E4-8206E88E59B2}">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POur retrouver la formule prendre la version 2021 du calculatueur</t>
      </text>
    </comment>
  </commentList>
</comments>
</file>

<file path=xl/sharedStrings.xml><?xml version="1.0" encoding="utf-8"?>
<sst xmlns="http://schemas.openxmlformats.org/spreadsheetml/2006/main" count="772" uniqueCount="358">
  <si>
    <t>Assurance maladie</t>
  </si>
  <si>
    <t>Assurance invalidité de courte durée</t>
  </si>
  <si>
    <t>Assurance invalidité de longue durée</t>
  </si>
  <si>
    <t>Assurance dentaire</t>
  </si>
  <si>
    <t>Assurance vie de base</t>
  </si>
  <si>
    <t>Module A</t>
  </si>
  <si>
    <t>Module B</t>
  </si>
  <si>
    <t>Module C</t>
  </si>
  <si>
    <t>Je suis couvert par l'assurance de mon conjoint</t>
  </si>
  <si>
    <t>Choix en assurance maladie</t>
  </si>
  <si>
    <t>Réponse choisie</t>
  </si>
  <si>
    <t>Couple</t>
  </si>
  <si>
    <t>Ind</t>
  </si>
  <si>
    <t>Mono</t>
  </si>
  <si>
    <t>Fam</t>
  </si>
  <si>
    <t>Si  65 ans ou plus inscrit à la RAMQ</t>
  </si>
  <si>
    <t>Si  65 ans ou plus qui n'est pas inscrit à la RAMQ</t>
  </si>
  <si>
    <t>Âge et RAMQ</t>
  </si>
  <si>
    <t>Adhérent de moins de 65 ans</t>
  </si>
  <si>
    <t>Adhérent de 65 ans ou + inscrit à la RAMQ</t>
  </si>
  <si>
    <t>Adhérent de 65 ans ou + non inscrit à la RAMQ</t>
  </si>
  <si>
    <t>Si adhérent de moins de 65 ans</t>
  </si>
  <si>
    <t>Assurance vie additionnelle</t>
  </si>
  <si>
    <t>Syndicat choisi</t>
  </si>
  <si>
    <t>Taux par 1000$</t>
  </si>
  <si>
    <t>Choix en assurance dentaire</t>
  </si>
  <si>
    <t>Option 1</t>
  </si>
  <si>
    <t>Option 2</t>
  </si>
  <si>
    <t>Aucune option</t>
  </si>
  <si>
    <t>Test sur la réponse</t>
  </si>
  <si>
    <t>Aucun de ceux-ci</t>
  </si>
  <si>
    <t>Souscrit à l'assurance?</t>
  </si>
  <si>
    <t>Oui</t>
  </si>
  <si>
    <t>Non</t>
  </si>
  <si>
    <t>Taux par paie</t>
  </si>
  <si>
    <t>Choix en assurance vie de base</t>
  </si>
  <si>
    <t>Catégorie d'âge</t>
  </si>
  <si>
    <t>Autres informations</t>
  </si>
  <si>
    <t>Choix en assurance vie additionnelle</t>
  </si>
  <si>
    <t>Sexe</t>
  </si>
  <si>
    <t>Homme</t>
  </si>
  <si>
    <t>Femme</t>
  </si>
  <si>
    <t>Fumeur/Non fumeur</t>
  </si>
  <si>
    <t>Non fumeur</t>
  </si>
  <si>
    <t>Fumeur</t>
  </si>
  <si>
    <t>Tableau des taux</t>
  </si>
  <si>
    <t>âge</t>
  </si>
  <si>
    <t>Non fumeuse</t>
  </si>
  <si>
    <t>Fumeuse</t>
  </si>
  <si>
    <t>Moins de 25 ans</t>
  </si>
  <si>
    <t>25 à 29 ans</t>
  </si>
  <si>
    <t>30 à 34 ans</t>
  </si>
  <si>
    <t>35 à 39 ans</t>
  </si>
  <si>
    <t>40 à 44 ans</t>
  </si>
  <si>
    <t>45 à 49 ans</t>
  </si>
  <si>
    <t>50 à 54 ans</t>
  </si>
  <si>
    <t>55 à 59 ans</t>
  </si>
  <si>
    <t>60 à 64 ans</t>
  </si>
  <si>
    <t>65 à 69 ans</t>
  </si>
  <si>
    <t xml:space="preserve">Tranches additionnelles </t>
  </si>
  <si>
    <t>Assurance vie des personnes à charge</t>
  </si>
  <si>
    <t>Choix en assurance vie des personnes à charge</t>
  </si>
  <si>
    <t>A - Pour la personne adhérente</t>
  </si>
  <si>
    <t>B - Pour la personne conjointe</t>
  </si>
  <si>
    <t>Adhérent</t>
  </si>
  <si>
    <t>Conjoint</t>
  </si>
  <si>
    <t>Choix adhérent</t>
  </si>
  <si>
    <t>Choix conjoint</t>
  </si>
  <si>
    <t>Couverture choisie</t>
  </si>
  <si>
    <t>Montant assuré:</t>
  </si>
  <si>
    <t>Couverture</t>
  </si>
  <si>
    <t>Âge adhérent</t>
  </si>
  <si>
    <t>Taux par période de paie adhérent</t>
  </si>
  <si>
    <t>Taux par période de paie conjoint</t>
  </si>
  <si>
    <t>Plan de protection</t>
  </si>
  <si>
    <t>Protection de base (module A)</t>
  </si>
  <si>
    <t>Protection régulière (module B)</t>
  </si>
  <si>
    <t>Protection enrichie (module C)</t>
  </si>
  <si>
    <t>Individuel</t>
  </si>
  <si>
    <t>Monoparental</t>
  </si>
  <si>
    <t>Familial</t>
  </si>
  <si>
    <t>Taux possibles</t>
  </si>
  <si>
    <t>Taux possible</t>
  </si>
  <si>
    <t>Plan de protection (identique à l'assurance maladie)</t>
  </si>
  <si>
    <t>(arrondi au plus près 500$)</t>
  </si>
  <si>
    <t>Choix de protection</t>
  </si>
  <si>
    <t>Protection de base (Option 1)</t>
  </si>
  <si>
    <t>Protection enrichie (Option 2)</t>
  </si>
  <si>
    <t>Je souscris l'assurance vie de base</t>
  </si>
  <si>
    <t>Je souscris l'assurance vie des personnes à charge</t>
  </si>
  <si>
    <t>Je souscris l'assurance invalidité de longue durée</t>
  </si>
  <si>
    <t>Moins de 65 ans</t>
  </si>
  <si>
    <t>Entre 65 ans et 70 ans</t>
  </si>
  <si>
    <t>70 ans ou plus</t>
  </si>
  <si>
    <t>Vie de base</t>
  </si>
  <si>
    <t>Maladies graves</t>
  </si>
  <si>
    <t>Montant payé</t>
  </si>
  <si>
    <t xml:space="preserve"> </t>
  </si>
  <si>
    <t>Pour souscrire une assurance vie additionnelle vous devez avoir une protection en assurance vie de base correspondant à une fois votre salaire annuel.</t>
  </si>
  <si>
    <t>Pour souscrire une assurance vie additionnelle vous devez avoir une protection en assurance vie de base correspondant à deux fois votre salaire annuel.</t>
  </si>
  <si>
    <t xml:space="preserve">          </t>
  </si>
  <si>
    <t xml:space="preserve">Catégorie d'âge   </t>
  </si>
  <si>
    <t>Pour souscrire une assurance vie additionnelle pour la personne conjointe, vous devez avoir une protection pour les personnes à charge.</t>
  </si>
  <si>
    <t>Pour souscrire une assurance vie additionnelle pour la personne conjointe, vous devez avoir une protection en assurance vie de base .</t>
  </si>
  <si>
    <t>Cette assurance est fortement recommandée aux non permanents des cégeps et est obligatoire pour presque tous les autres membres des syndicats qui y participent.</t>
  </si>
  <si>
    <t xml:space="preserve">Je souscris l'assurance vie additionnelle </t>
  </si>
  <si>
    <t xml:space="preserve">Couverture choisie: </t>
  </si>
  <si>
    <t>Contactez votre syndicat pour de plus amples informations.</t>
  </si>
  <si>
    <t xml:space="preserve">Couverture additionnelle totale: </t>
  </si>
  <si>
    <t xml:space="preserve">Contribution de votre employeur par période de paie : </t>
  </si>
  <si>
    <t>Choix de protection (Inscrivez un "X" dans la case de votre choix et effacez le "X" des autres cases)</t>
  </si>
  <si>
    <t>Choix du syndicat</t>
  </si>
  <si>
    <t xml:space="preserve">Montant assuré : </t>
  </si>
  <si>
    <t xml:space="preserve"> ans</t>
  </si>
  <si>
    <t>Indiquez l'âge de votre conjoint :</t>
  </si>
  <si>
    <t>Une fois le salaire annuel</t>
  </si>
  <si>
    <t>Deux fois le salaire annuel</t>
  </si>
  <si>
    <t>10 000$</t>
  </si>
  <si>
    <t>La moitié du salaire annuel</t>
  </si>
  <si>
    <t>Maladie</t>
  </si>
  <si>
    <t>Dentaire</t>
  </si>
  <si>
    <t>Vie</t>
  </si>
  <si>
    <t>Invalidité de courte durée</t>
  </si>
  <si>
    <t>Invalidité de longue durée</t>
  </si>
  <si>
    <t>De l'Université Laval</t>
  </si>
  <si>
    <t>Health Insurance</t>
  </si>
  <si>
    <t>Coverage status</t>
  </si>
  <si>
    <t>Basic Coverage (Module A)</t>
  </si>
  <si>
    <t>Individual</t>
  </si>
  <si>
    <t>Regular Coverage (Module B)</t>
  </si>
  <si>
    <t>Single-Parent</t>
  </si>
  <si>
    <t>Enhanced Coverage (Module C)</t>
  </si>
  <si>
    <t>Family</t>
  </si>
  <si>
    <t>I am covered under my spouse’s insurance</t>
  </si>
  <si>
    <t>Dental Care Insurance</t>
  </si>
  <si>
    <t>Choice of coverage</t>
  </si>
  <si>
    <t>Coverage status (same as Health Insurance)</t>
  </si>
  <si>
    <t>No option</t>
  </si>
  <si>
    <t>Basic Coverage (Option 1)</t>
  </si>
  <si>
    <t>Enhanced Coverage (Option 2)</t>
  </si>
  <si>
    <t>Short Term Disability Insurance</t>
  </si>
  <si>
    <t>Choice of union</t>
  </si>
  <si>
    <t>From LaSalle College union</t>
  </si>
  <si>
    <t>None of these</t>
  </si>
  <si>
    <t>Long Term Disability Insurance</t>
  </si>
  <si>
    <t>Yes</t>
  </si>
  <si>
    <t>No</t>
  </si>
  <si>
    <t>Contact your union for more information.</t>
  </si>
  <si>
    <t>Basic Life Insurance</t>
  </si>
  <si>
    <t xml:space="preserve">Coverage selected: </t>
  </si>
  <si>
    <t>(this coverage includes critical illness insurance)</t>
  </si>
  <si>
    <t>One time the annual salary</t>
  </si>
  <si>
    <t>Two times the annual salary</t>
  </si>
  <si>
    <t>Age group</t>
  </si>
  <si>
    <t>Dependents’ Life Insurance</t>
  </si>
  <si>
    <t>Optional Life Insurance</t>
  </si>
  <si>
    <t>A - For the participant</t>
  </si>
  <si>
    <t xml:space="preserve">Rate per 14-day period per $1000 of insurance: </t>
  </si>
  <si>
    <t xml:space="preserve">Total additional coverage: </t>
  </si>
  <si>
    <t>Other informations</t>
  </si>
  <si>
    <t>Male</t>
  </si>
  <si>
    <t>Female</t>
  </si>
  <si>
    <t>Non-smoker</t>
  </si>
  <si>
    <t>years old</t>
  </si>
  <si>
    <t>Smoker</t>
  </si>
  <si>
    <t>B - For the spouse</t>
  </si>
  <si>
    <t>Write your spouse's age:</t>
  </si>
  <si>
    <t>Total cost</t>
  </si>
  <si>
    <t/>
  </si>
  <si>
    <t>Du collège LaSalle</t>
  </si>
  <si>
    <t>N.B. L'assurance maladies graves est incluse avec l'assurance vie de base</t>
  </si>
  <si>
    <r>
      <rPr>
        <b/>
        <sz val="11"/>
        <color indexed="8"/>
        <rFont val="Calibri"/>
        <family val="2"/>
      </rPr>
      <t>Health Insurance coverage chosen</t>
    </r>
  </si>
  <si>
    <r>
      <rPr>
        <b/>
        <sz val="11"/>
        <color indexed="8"/>
        <rFont val="Calibri"/>
        <family val="2"/>
      </rPr>
      <t>Coverage status</t>
    </r>
  </si>
  <si>
    <r>
      <rPr>
        <b/>
        <sz val="11"/>
        <color indexed="8"/>
        <rFont val="Calibri"/>
        <family val="2"/>
      </rPr>
      <t>Age and RAMQ</t>
    </r>
  </si>
  <si>
    <r>
      <rPr>
        <b/>
        <sz val="11"/>
        <color indexed="8"/>
        <rFont val="Calibri"/>
        <family val="2"/>
      </rPr>
      <t>Cost per 14 days</t>
    </r>
  </si>
  <si>
    <r>
      <rPr>
        <sz val="11"/>
        <color indexed="8"/>
        <rFont val="Calibri"/>
        <family val="2"/>
      </rPr>
      <t>If participant is under age 65</t>
    </r>
  </si>
  <si>
    <r>
      <rPr>
        <b/>
        <sz val="11"/>
        <color indexed="8"/>
        <rFont val="Calibri"/>
        <family val="2"/>
      </rPr>
      <t>Dental Care Insurance coverage chosen</t>
    </r>
  </si>
  <si>
    <r>
      <rPr>
        <sz val="11"/>
        <color indexed="8"/>
        <rFont val="Calibri"/>
        <family val="2"/>
      </rPr>
      <t>Cost per 14 days</t>
    </r>
  </si>
  <si>
    <r>
      <rPr>
        <sz val="11"/>
        <color indexed="8"/>
        <rFont val="Calibri"/>
        <family val="2"/>
      </rPr>
      <t>Basic Coverage (Module A)</t>
    </r>
  </si>
  <si>
    <r>
      <rPr>
        <sz val="11"/>
        <color indexed="8"/>
        <rFont val="Calibri"/>
        <family val="2"/>
      </rPr>
      <t>Individual</t>
    </r>
  </si>
  <si>
    <r>
      <rPr>
        <sz val="11"/>
        <color indexed="8"/>
        <rFont val="Calibri"/>
        <family val="2"/>
      </rPr>
      <t>Participant under age 65</t>
    </r>
  </si>
  <si>
    <r>
      <rPr>
        <sz val="11"/>
        <color indexed="8"/>
        <rFont val="Calibri"/>
        <family val="2"/>
      </rPr>
      <t>Regular Coverage (Module B)</t>
    </r>
  </si>
  <si>
    <r>
      <rPr>
        <sz val="11"/>
        <color indexed="8"/>
        <rFont val="Calibri"/>
        <family val="2"/>
      </rPr>
      <t>Single-Parent</t>
    </r>
  </si>
  <si>
    <r>
      <rPr>
        <sz val="11"/>
        <color indexed="8"/>
        <rFont val="Calibri"/>
        <family val="2"/>
      </rPr>
      <t>Participant age 65 or + registered with the RAMQ</t>
    </r>
  </si>
  <si>
    <r>
      <rPr>
        <sz val="11"/>
        <color indexed="8"/>
        <rFont val="Calibri"/>
        <family val="2"/>
      </rPr>
      <t>Basic Coverage (Option 1)</t>
    </r>
  </si>
  <si>
    <r>
      <rPr>
        <sz val="11"/>
        <color indexed="8"/>
        <rFont val="Calibri"/>
        <family val="2"/>
      </rPr>
      <t>Ind</t>
    </r>
  </si>
  <si>
    <r>
      <rPr>
        <sz val="11"/>
        <color indexed="8"/>
        <rFont val="Calibri"/>
        <family val="2"/>
      </rPr>
      <t>Enhanced Coverage (Module C)</t>
    </r>
  </si>
  <si>
    <r>
      <rPr>
        <sz val="11"/>
        <color indexed="8"/>
        <rFont val="Calibri"/>
        <family val="2"/>
      </rPr>
      <t>Family</t>
    </r>
  </si>
  <si>
    <r>
      <rPr>
        <sz val="11"/>
        <color indexed="8"/>
        <rFont val="Calibri"/>
        <family val="2"/>
      </rPr>
      <t>Participant age 65 or + not registered with the RAMQ</t>
    </r>
  </si>
  <si>
    <r>
      <rPr>
        <sz val="11"/>
        <color indexed="8"/>
        <rFont val="Calibri"/>
        <family val="2"/>
      </rPr>
      <t>Enhanced Coverage (Option 2)</t>
    </r>
  </si>
  <si>
    <r>
      <rPr>
        <sz val="11"/>
        <color indexed="8"/>
        <rFont val="Calibri"/>
        <family val="2"/>
      </rPr>
      <t>SP</t>
    </r>
  </si>
  <si>
    <r>
      <rPr>
        <sz val="11"/>
        <color indexed="8"/>
        <rFont val="Calibri"/>
        <family val="2"/>
      </rPr>
      <t>I am covered under my spouse’s insurance</t>
    </r>
  </si>
  <si>
    <r>
      <rPr>
        <sz val="11"/>
        <color indexed="8"/>
        <rFont val="Calibri"/>
        <family val="2"/>
      </rPr>
      <t>Couple</t>
    </r>
  </si>
  <si>
    <r>
      <rPr>
        <sz val="11"/>
        <color indexed="8"/>
        <rFont val="Calibri"/>
        <family val="2"/>
      </rPr>
      <t>Fam</t>
    </r>
  </si>
  <si>
    <r>
      <rPr>
        <sz val="11"/>
        <color indexed="8"/>
        <rFont val="Calibri"/>
        <family val="2"/>
      </rPr>
      <t>Answer chosen</t>
    </r>
  </si>
  <si>
    <r>
      <rPr>
        <sz val="11"/>
        <color indexed="8"/>
        <rFont val="Calibri"/>
        <family val="2"/>
      </rPr>
      <t>If age 65 or over and registered with the RAMQ</t>
    </r>
  </si>
  <si>
    <r>
      <rPr>
        <sz val="11"/>
        <color indexed="8"/>
        <rFont val="Calibri"/>
        <family val="2"/>
      </rPr>
      <t>Test on answer</t>
    </r>
  </si>
  <si>
    <r>
      <rPr>
        <sz val="11"/>
        <color indexed="8"/>
        <rFont val="Calibri"/>
        <family val="2"/>
      </rPr>
      <t>Cost per pay</t>
    </r>
  </si>
  <si>
    <r>
      <rPr>
        <sz val="11"/>
        <color indexed="8"/>
        <rFont val="Calibri"/>
        <family val="2"/>
      </rPr>
      <t>If age 65 or over and not registered with the RAMQ</t>
    </r>
  </si>
  <si>
    <r>
      <rPr>
        <b/>
        <sz val="11"/>
        <color indexed="8"/>
        <rFont val="Calibri"/>
        <family val="2"/>
      </rPr>
      <t>Coverage selected for Basic Life Insurance</t>
    </r>
  </si>
  <si>
    <r>
      <rPr>
        <sz val="11"/>
        <color indexed="8"/>
        <rFont val="Calibri"/>
        <family val="2"/>
      </rPr>
      <t>Possible rate</t>
    </r>
  </si>
  <si>
    <r>
      <rPr>
        <sz val="11"/>
        <color indexed="8"/>
        <rFont val="Calibri"/>
        <family val="2"/>
      </rPr>
      <t>Age group</t>
    </r>
  </si>
  <si>
    <r>
      <rPr>
        <sz val="11"/>
        <color indexed="8"/>
        <rFont val="Calibri"/>
        <family val="2"/>
      </rPr>
      <t>Yes</t>
    </r>
  </si>
  <si>
    <r>
      <rPr>
        <sz val="11"/>
        <color indexed="8"/>
        <rFont val="Calibri"/>
        <family val="2"/>
      </rPr>
      <t>Basic Life</t>
    </r>
  </si>
  <si>
    <r>
      <rPr>
        <sz val="11"/>
        <color indexed="8"/>
        <rFont val="Calibri"/>
        <family val="2"/>
      </rPr>
      <t>Under age 65</t>
    </r>
  </si>
  <si>
    <r>
      <rPr>
        <sz val="11"/>
        <color indexed="8"/>
        <rFont val="Calibri"/>
        <family val="2"/>
      </rPr>
      <t>No</t>
    </r>
  </si>
  <si>
    <r>
      <rPr>
        <sz val="11"/>
        <color indexed="8"/>
        <rFont val="Calibri"/>
        <family val="2"/>
      </rPr>
      <t>Critical Illness</t>
    </r>
  </si>
  <si>
    <r>
      <rPr>
        <sz val="11"/>
        <color indexed="8"/>
        <rFont val="Calibri"/>
        <family val="2"/>
      </rPr>
      <t>Between age 65 and 70</t>
    </r>
  </si>
  <si>
    <t>Half of the annual salary</t>
  </si>
  <si>
    <t>Salary rounded at 500$</t>
  </si>
  <si>
    <r>
      <rPr>
        <sz val="11"/>
        <color indexed="8"/>
        <rFont val="Calibri"/>
        <family val="2"/>
      </rPr>
      <t>Age 70 or over</t>
    </r>
  </si>
  <si>
    <r>
      <rPr>
        <sz val="11"/>
        <color indexed="8"/>
        <rFont val="Calibri"/>
        <family val="2"/>
      </rPr>
      <t>Insured amount:</t>
    </r>
  </si>
  <si>
    <t>Rate per pay</t>
  </si>
  <si>
    <r>
      <rPr>
        <sz val="11"/>
        <color indexed="8"/>
        <rFont val="Calibri"/>
        <family val="2"/>
      </rPr>
      <t>(rounded to the nearest $500)</t>
    </r>
  </si>
  <si>
    <r>
      <rPr>
        <sz val="11"/>
        <color indexed="8"/>
        <rFont val="Calibri"/>
        <family val="2"/>
      </rPr>
      <t>Coverage selected</t>
    </r>
  </si>
  <si>
    <t>Cost per pay</t>
  </si>
  <si>
    <t>Amount paid:</t>
  </si>
  <si>
    <t>Annual cost</t>
  </si>
  <si>
    <r>
      <rPr>
        <b/>
        <sz val="11"/>
        <color indexed="8"/>
        <rFont val="Calibri"/>
        <family val="2"/>
      </rPr>
      <t>Coverage selected for Dependents’ Life Insurance</t>
    </r>
  </si>
  <si>
    <r>
      <rPr>
        <b/>
        <sz val="11"/>
        <color indexed="8"/>
        <rFont val="Calibri"/>
        <family val="2"/>
      </rPr>
      <t>Short Term Disability Insurance</t>
    </r>
  </si>
  <si>
    <t>Chosen union</t>
  </si>
  <si>
    <t>Rate per 1000$</t>
  </si>
  <si>
    <r>
      <rPr>
        <b/>
        <sz val="11"/>
        <color indexed="8"/>
        <rFont val="Calibri"/>
        <family val="2"/>
      </rPr>
      <t>Long Term Disability Insurance</t>
    </r>
  </si>
  <si>
    <r>
      <rPr>
        <sz val="11"/>
        <color indexed="8"/>
        <rFont val="Calibri"/>
        <family val="2"/>
      </rPr>
      <t>Registered for insurance?</t>
    </r>
  </si>
  <si>
    <t>Possible rate</t>
  </si>
  <si>
    <t>Possible rates</t>
  </si>
  <si>
    <r>
      <rPr>
        <sz val="11"/>
        <color indexed="8"/>
        <rFont val="Calibri"/>
        <family val="2"/>
      </rPr>
      <t>To take out Optional Life Insurance you must have Basic Life Insurance coverage corresponding to two times your annual salary.</t>
    </r>
  </si>
  <si>
    <t>To take out Optional Life Insurance you must have Basic Life Insurance coverage corresponding to one time your annual salary.</t>
  </si>
  <si>
    <r>
      <rPr>
        <b/>
        <sz val="11"/>
        <color indexed="8"/>
        <rFont val="Calibri"/>
        <family val="2"/>
      </rPr>
      <t>Coverage selected for Optional Life Insurance</t>
    </r>
  </si>
  <si>
    <r>
      <rPr>
        <sz val="11"/>
        <color indexed="8"/>
        <rFont val="Calibri"/>
        <family val="2"/>
      </rPr>
      <t>Rate table</t>
    </r>
  </si>
  <si>
    <r>
      <rPr>
        <sz val="11"/>
        <color indexed="8"/>
        <rFont val="Calibri"/>
        <family val="2"/>
      </rPr>
      <t xml:space="preserve">Additional units </t>
    </r>
  </si>
  <si>
    <r>
      <rPr>
        <b/>
        <sz val="11"/>
        <color indexed="8"/>
        <rFont val="Calibri"/>
        <family val="2"/>
      </rPr>
      <t>Participant</t>
    </r>
  </si>
  <si>
    <t>Spouse</t>
  </si>
  <si>
    <r>
      <rPr>
        <sz val="11"/>
        <color indexed="8"/>
        <rFont val="Calibri"/>
        <family val="2"/>
      </rPr>
      <t>Male</t>
    </r>
  </si>
  <si>
    <r>
      <rPr>
        <sz val="11"/>
        <color indexed="8"/>
        <rFont val="Calibri"/>
        <family val="2"/>
      </rPr>
      <t>Female</t>
    </r>
  </si>
  <si>
    <r>
      <rPr>
        <sz val="11"/>
        <color indexed="8"/>
        <rFont val="Calibri"/>
        <family val="2"/>
      </rPr>
      <t>Age</t>
    </r>
  </si>
  <si>
    <r>
      <rPr>
        <sz val="11"/>
        <color indexed="8"/>
        <rFont val="Calibri"/>
        <family val="2"/>
      </rPr>
      <t>Non-smoker</t>
    </r>
  </si>
  <si>
    <r>
      <rPr>
        <sz val="11"/>
        <color indexed="8"/>
        <rFont val="Calibri"/>
        <family val="2"/>
      </rPr>
      <t>Smoker</t>
    </r>
  </si>
  <si>
    <r>
      <rPr>
        <sz val="11"/>
        <color indexed="8"/>
        <rFont val="Calibri"/>
        <family val="2"/>
      </rPr>
      <t>Under age 25</t>
    </r>
  </si>
  <si>
    <r>
      <rPr>
        <sz val="11"/>
        <color indexed="8"/>
        <rFont val="Calibri"/>
        <family val="2"/>
      </rPr>
      <t>25 to 29</t>
    </r>
  </si>
  <si>
    <r>
      <rPr>
        <sz val="11"/>
        <color indexed="8"/>
        <rFont val="Calibri"/>
        <family val="2"/>
      </rPr>
      <t>30 to 34</t>
    </r>
  </si>
  <si>
    <r>
      <rPr>
        <sz val="11"/>
        <color indexed="8"/>
        <rFont val="Calibri"/>
        <family val="2"/>
      </rPr>
      <t>35 to 39</t>
    </r>
  </si>
  <si>
    <r>
      <rPr>
        <sz val="11"/>
        <color indexed="8"/>
        <rFont val="Calibri"/>
        <family val="2"/>
      </rPr>
      <t>Gender</t>
    </r>
  </si>
  <si>
    <r>
      <rPr>
        <sz val="11"/>
        <color indexed="8"/>
        <rFont val="Calibri"/>
        <family val="2"/>
      </rPr>
      <t>40 to 44</t>
    </r>
  </si>
  <si>
    <r>
      <rPr>
        <sz val="11"/>
        <color indexed="8"/>
        <rFont val="Calibri"/>
        <family val="2"/>
      </rPr>
      <t>45 to 49</t>
    </r>
  </si>
  <si>
    <r>
      <rPr>
        <sz val="11"/>
        <color indexed="8"/>
        <rFont val="Calibri"/>
        <family val="2"/>
      </rPr>
      <t>50 to 54</t>
    </r>
  </si>
  <si>
    <r>
      <rPr>
        <sz val="11"/>
        <color indexed="8"/>
        <rFont val="Calibri"/>
        <family val="2"/>
      </rPr>
      <t>Participant’s choice</t>
    </r>
  </si>
  <si>
    <r>
      <rPr>
        <sz val="11"/>
        <color indexed="8"/>
        <rFont val="Calibri"/>
        <family val="2"/>
      </rPr>
      <t>55 to 59</t>
    </r>
  </si>
  <si>
    <r>
      <rPr>
        <sz val="11"/>
        <color indexed="8"/>
        <rFont val="Calibri"/>
        <family val="2"/>
      </rPr>
      <t>60 to 64</t>
    </r>
  </si>
  <si>
    <r>
      <rPr>
        <sz val="11"/>
        <color indexed="8"/>
        <rFont val="Calibri"/>
        <family val="2"/>
      </rPr>
      <t>Spouse’s choice</t>
    </r>
  </si>
  <si>
    <r>
      <rPr>
        <sz val="11"/>
        <color indexed="8"/>
        <rFont val="Calibri"/>
        <family val="2"/>
      </rPr>
      <t>65 to 69</t>
    </r>
  </si>
  <si>
    <r>
      <rPr>
        <sz val="11"/>
        <color indexed="8"/>
        <rFont val="Calibri"/>
        <family val="2"/>
      </rPr>
      <t>Smoker/Non-smoker</t>
    </r>
  </si>
  <si>
    <r>
      <rPr>
        <sz val="11"/>
        <color indexed="8"/>
        <rFont val="Calibri"/>
        <family val="2"/>
      </rPr>
      <t>Participant’s age</t>
    </r>
  </si>
  <si>
    <t>45 to 49</t>
  </si>
  <si>
    <r>
      <rPr>
        <sz val="11"/>
        <color indexed="8"/>
        <rFont val="Calibri"/>
        <family val="2"/>
      </rPr>
      <t>Rate per pay period for participant</t>
    </r>
  </si>
  <si>
    <r>
      <rPr>
        <sz val="11"/>
        <color indexed="8"/>
        <rFont val="Calibri"/>
        <family val="2"/>
      </rPr>
      <t>Spouse’s age</t>
    </r>
  </si>
  <si>
    <r>
      <rPr>
        <sz val="11"/>
        <color indexed="8"/>
        <rFont val="Calibri"/>
        <family val="2"/>
      </rPr>
      <t>Rate per pay period for spouse</t>
    </r>
  </si>
  <si>
    <r>
      <rPr>
        <sz val="11"/>
        <color indexed="8"/>
        <rFont val="Calibri"/>
        <family val="2"/>
      </rPr>
      <t>To take out Optional Life Insurance for the spouse, you must have coverage for dependents.</t>
    </r>
  </si>
  <si>
    <r>
      <rPr>
        <sz val="11"/>
        <color indexed="8"/>
        <rFont val="Calibri"/>
        <family val="2"/>
      </rPr>
      <t>To take out Optional Life Insurance for the spouse, you must have Basic Life Insurance coverage.</t>
    </r>
  </si>
  <si>
    <t>Under age 25</t>
  </si>
  <si>
    <t>25 to 29</t>
  </si>
  <si>
    <t>30 to 34</t>
  </si>
  <si>
    <t>35 to 39</t>
  </si>
  <si>
    <t>40 to 44</t>
  </si>
  <si>
    <t>50 to 54</t>
  </si>
  <si>
    <t>55 to 59</t>
  </si>
  <si>
    <t>60 to 64</t>
  </si>
  <si>
    <t>65 to 69</t>
  </si>
  <si>
    <t xml:space="preserve">Write your annual salary : </t>
  </si>
  <si>
    <t>Answer chosen</t>
  </si>
  <si>
    <t>From Laval University union</t>
  </si>
  <si>
    <t xml:space="preserve">Cout annuel (26 paies) : </t>
  </si>
  <si>
    <t>Cout par 14 jours</t>
  </si>
  <si>
    <t xml:space="preserve">Cout par période de paie (14 jours) : </t>
  </si>
  <si>
    <t>Cout total</t>
  </si>
  <si>
    <t xml:space="preserve">Cout total par période de paie avant la contribution de l'employeur :  </t>
  </si>
  <si>
    <t>Cout par paie</t>
  </si>
  <si>
    <t>Cout annuel</t>
  </si>
  <si>
    <t>Formule</t>
  </si>
  <si>
    <t>Valeur à saisir</t>
  </si>
  <si>
    <t>Texte</t>
  </si>
  <si>
    <t>Couleurs</t>
  </si>
  <si>
    <t>Inscrivez votre salaire annuel :</t>
  </si>
  <si>
    <t>Vie additionnelle</t>
  </si>
  <si>
    <t>Additional life insurance</t>
  </si>
  <si>
    <t>Quel est votre âge :</t>
  </si>
  <si>
    <t>ans</t>
  </si>
  <si>
    <t>Âge de l'adhérant</t>
  </si>
  <si>
    <t>À compter de 70 ans, l'assurance vie additionnelle n'est plus disponible.</t>
  </si>
  <si>
    <t>Participant age :</t>
  </si>
  <si>
    <t>years</t>
  </si>
  <si>
    <t>Âge</t>
  </si>
  <si>
    <t>Age</t>
  </si>
  <si>
    <t>Age of participant</t>
  </si>
  <si>
    <t>Optional Life Insurance is no longer available after age 70.</t>
  </si>
  <si>
    <t>Du collège Trinité</t>
  </si>
  <si>
    <t>From Trinité College union</t>
  </si>
  <si>
    <t>Taux_courte</t>
  </si>
  <si>
    <t>Taux par 1 000 $</t>
  </si>
  <si>
    <t>Personnes à charge</t>
  </si>
  <si>
    <t>D'un autre collège ou d'une autre université</t>
  </si>
  <si>
    <t>From any other college or university</t>
  </si>
  <si>
    <t xml:space="preserve">Prime par période de paie pour l'assurance maladies graves : </t>
  </si>
  <si>
    <t>Prime par période de paye</t>
  </si>
  <si>
    <t>Attention dans les cellules avec congé de prime</t>
  </si>
  <si>
    <t>Congé</t>
  </si>
  <si>
    <t>Daniel Légaré</t>
  </si>
  <si>
    <t>De l'ITHQ ou de l'ITAQ</t>
  </si>
  <si>
    <t>From ITHQ or ITAQ</t>
  </si>
  <si>
    <t>Salaire arrondi à 500 $</t>
  </si>
  <si>
    <t>Le congé de 50 % est compris dans les taux ci-dessus</t>
  </si>
  <si>
    <t>Choice of coverage (Write an X beside your choice and erase the other ones)</t>
  </si>
  <si>
    <t>I want to enroll in</t>
  </si>
  <si>
    <t>I want to enroll in Long Term Disability Insurance coverage</t>
  </si>
  <si>
    <t>I want to enroll in Basic Life Insurance</t>
  </si>
  <si>
    <t>Note: This calculator only gives an estimate of the costs of the coverage options selected. The information included in the calculator and the results obtained only offers guidelines to the participant making her/his decision. Therefore, the estimate and the results obtained have no legal value and do not bind in any circumstance Beneva or the FNEEQ-CSN.</t>
  </si>
  <si>
    <t>Avis
Ce calculateur pour le cout des assurances ne fournit qu’une estimation du cout des protections choisies. Les renseignements s’y trouvant et les résultats obtenus ne servent que de guide afin de permettre au participant d’effectuer son choix. Par conséquent, l’estimation obtenue n’a aucune valeur légale et ne lie en aucun cas l’assureur Beneva ou la FNEEQ-CSN.</t>
  </si>
  <si>
    <t xml:space="preserve">tranches de 20 000 $ pour un total de : </t>
  </si>
  <si>
    <t xml:space="preserve">tranches de 25 000 $ pour un total de : </t>
  </si>
  <si>
    <t>tranches de 25 000 $ pour un total de :</t>
  </si>
  <si>
    <t>Taux par période de 14 jours par 1 000 $ de salaire annuel :</t>
  </si>
  <si>
    <t xml:space="preserve">Taux par période de 14 jours par 1 000 $ d'assurance vie : </t>
  </si>
  <si>
    <t>Taux par période de 14 jours par 1 000 $ d'assurance :</t>
  </si>
  <si>
    <t>Taux par période de 14 jours pour 1 000 $ d'assurance :</t>
  </si>
  <si>
    <t xml:space="preserve">Cost per pay period (14 days) : </t>
  </si>
  <si>
    <t xml:space="preserve">Annual cost (26 pay periods) : </t>
  </si>
  <si>
    <t xml:space="preserve">Total cost per pay period before your employer contribution : </t>
  </si>
  <si>
    <t xml:space="preserve">Employer's contribution per pay period : </t>
  </si>
  <si>
    <t xml:space="preserve">units of 25 000 $ for a total of : </t>
  </si>
  <si>
    <t xml:space="preserve">Insured amount : </t>
  </si>
  <si>
    <t xml:space="preserve">Coast per pay period for Critical Illness Insurance : </t>
  </si>
  <si>
    <t xml:space="preserve">units of 20 000 $ for a total of : </t>
  </si>
  <si>
    <t>Additional units taken out before January 1, 2013 (1 to 7 units of 20 000 $)</t>
  </si>
  <si>
    <t>Additional units taken out after January 1, 2013 (1 to 10 units of 25 000 $)</t>
  </si>
  <si>
    <t>units of 20 000 $ for a total of :</t>
  </si>
  <si>
    <t>units of 25 000 $ for a total of :</t>
  </si>
  <si>
    <t xml:space="preserve">Rate per 14-day period per 1 000 $ of annual salary : </t>
  </si>
  <si>
    <t>tranches de 20 000 $ pour un total de : </t>
  </si>
  <si>
    <t xml:space="preserve">Taux par période de 14 jours par 1 000 $ de salaire annuel : </t>
  </si>
  <si>
    <t>Taux au 1er janvier 2024</t>
  </si>
  <si>
    <t>Cet onglet est à mettre à jour lors de chaque renouvellement.
Tous les autres onglets se mettent à jour automatiquement, en utilisant ces valeurs.</t>
  </si>
  <si>
    <t>Inscrivez votre salaire annuel:</t>
  </si>
  <si>
    <t xml:space="preserve">Inscrivez votre salaire annuel : </t>
  </si>
  <si>
    <t>Tranches additionnelles prises avant le 1er janvier 2013
(1 à 7 tranches de 20 000 $)</t>
  </si>
  <si>
    <t>Tranches additionnelles prises à compter du 1er janvier 2013
(1 à 10 tranches de 25 000 $)</t>
  </si>
  <si>
    <t>Âge conjoint</t>
  </si>
  <si>
    <t xml:space="preserve">Rate per 14-day period per 1 000 $ of life insurance :  </t>
  </si>
  <si>
    <t xml:space="preserve">Taxe de vente de 9% : </t>
  </si>
  <si>
    <t xml:space="preserve">Cout total par période de paie (14 jours) incluant la taxe de vente : </t>
  </si>
  <si>
    <t xml:space="preserve">Cout annuel (26 paies) incluant la taxe de vente : </t>
  </si>
  <si>
    <t xml:space="preserve">Annual cost (26 pay periods) including sales tax : </t>
  </si>
  <si>
    <t xml:space="preserve">Total cost per pay period (14 days) including sales tax : </t>
  </si>
  <si>
    <t xml:space="preserve">9 % sales tax : </t>
  </si>
  <si>
    <t>Pour les enseignant.e.s des syndicats du regroupement cégep, la contribution de l'employeur est nulle.</t>
  </si>
  <si>
    <t>Cette assurance est offerte par Beneva seulement dans les syndicats des regroupements privé et université, ainsi que pour certains chargé.e.s de cours des syndicats du regroupement cégep ayant adhéré à l'Annexe I.  Les enseignant.e.s du régulier des syndicats du regroupement cégep sont couverts par la convention collective en assurance invalidité de courte durée.</t>
  </si>
  <si>
    <t>This insurance, offered by Beneva, is only available to members of Unions of private schools and universities, as well as for the hourly-paid teachers of some Cégeps Unions (the ones where Schedule I applies). Regular sector Cégep teachers are covered for short-term disability by the salary insurance provided for in the Collective Agreement.</t>
  </si>
  <si>
    <t>For teachers in Unions of the Regroupement Cégep, there is no contribution from the employer.</t>
  </si>
  <si>
    <t>This insurance is strongly recommended for non-permanent Cégep employees and is mandatory for almost all other participating union members.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</si>
</sst>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8" formatCode="#,##0.00\ &quot;$&quot;_);[Red]\(#,##0.00\ &quot;$&quot;\)"/>
    <numFmt numFmtId="44" formatCode="_ * #,##0.00_)\ &quot;$&quot;_ ;_ * \(#,##0.00\)\ &quot;$&quot;_ ;_ * &quot;-&quot;??_)\ &quot;$&quot;_ ;_ @_ "/>
    <numFmt numFmtId="164" formatCode="_ * #,##0.000_)\ &quot;$&quot;_ ;_ * \(#,##0.000\)\ &quot;$&quot;_ ;_ * &quot;-&quot;???_)\ &quot;$&quot;_ ;_ @_ "/>
    <numFmt numFmtId="165" formatCode="_ * #,##0.0000_)\ &quot;$&quot;_ ;_ * \(#,##0.0000\)\ &quot;$&quot;_ ;_ * &quot;-&quot;???_)\ &quot;$&quot;_ ;_ @_ "/>
    <numFmt numFmtId="166" formatCode="_ * #,##0_)\ &quot;$&quot;_ ;_ * \(#,##0\)\ &quot;$&quot;_ ;_ * &quot;-&quot;??_)\ &quot;$&quot;_ ;_ @_ "/>
    <numFmt numFmtId="167" formatCode="_ * #,##0.000_)\ &quot;$&quot;_ ;_ * \(#,##0.000\)\ &quot;$&quot;_ ;_ * &quot;-&quot;??_)\ &quot;$&quot;_ ;_ @_ "/>
    <numFmt numFmtId="168" formatCode="_ * #,##0.000000_)\ &quot;$&quot;_ ;_ * \(#,##0.000000\)\ &quot;$&quot;_ ;_ * &quot;-&quot;??_)\ &quot;$&quot;_ ;_ @_ "/>
    <numFmt numFmtId="169" formatCode="_ * #,##0.00_)\ &quot;$&quot;_ ;_ * \(#,##0.00\)\ &quot;$&quot;_ ;_ * &quot;-&quot;???_)\ &quot;$&quot;_ ;_ @_ "/>
    <numFmt numFmtId="170" formatCode="#,##0.0000\ &quot;$&quot;"/>
    <numFmt numFmtId="171" formatCode="#,##0.00\ &quot;$&quot;"/>
    <numFmt numFmtId="172" formatCode="#,##0.000\ &quot;$&quot;"/>
    <numFmt numFmtId="173" formatCode="#,##0\ &quot;$&quot;"/>
    <numFmt numFmtId="174" formatCode=";;;"/>
  </numFmts>
  <fonts count="29" x14ac:knownFonts="1">
    <font>
      <sz val="11"/>
      <color theme="1"/>
      <name val="Calibri"/>
      <family val="2"/>
      <scheme val="minor"/>
    </font>
    <font>
      <sz val="11"/>
      <color theme="1"/>
      <name val="Calibri"/>
      <family val="2"/>
      <scheme val="minor"/>
    </font>
    <font>
      <b/>
      <sz val="11"/>
      <color theme="1"/>
      <name val="Calibri"/>
      <family val="2"/>
      <scheme val="minor"/>
    </font>
    <font>
      <sz val="16"/>
      <color theme="1"/>
      <name val="Calibri"/>
      <family val="2"/>
      <scheme val="minor"/>
    </font>
    <font>
      <b/>
      <sz val="26"/>
      <color theme="1"/>
      <name val="Calibri"/>
      <family val="2"/>
      <scheme val="minor"/>
    </font>
    <font>
      <b/>
      <sz val="16"/>
      <color theme="1"/>
      <name val="Calibri"/>
      <family val="2"/>
      <scheme val="minor"/>
    </font>
    <font>
      <sz val="10"/>
      <color theme="1"/>
      <name val="Calibri"/>
      <family val="2"/>
      <scheme val="minor"/>
    </font>
    <font>
      <b/>
      <sz val="10"/>
      <color rgb="FFFF0000"/>
      <name val="Calibri"/>
      <family val="2"/>
      <scheme val="minor"/>
    </font>
    <font>
      <b/>
      <sz val="28"/>
      <color theme="1"/>
      <name val="Calibri"/>
      <family val="2"/>
      <scheme val="minor"/>
    </font>
    <font>
      <b/>
      <sz val="10"/>
      <color rgb="FF002060"/>
      <name val="Calibri"/>
      <family val="2"/>
      <scheme val="minor"/>
    </font>
    <font>
      <b/>
      <sz val="11"/>
      <color rgb="FFFF0000"/>
      <name val="Calibri"/>
      <family val="2"/>
      <scheme val="minor"/>
    </font>
    <font>
      <b/>
      <sz val="12"/>
      <color theme="1"/>
      <name val="Calibri"/>
      <family val="2"/>
      <scheme val="minor"/>
    </font>
    <font>
      <b/>
      <sz val="11"/>
      <color rgb="FFC80000"/>
      <name val="Calibri"/>
      <family val="2"/>
      <scheme val="minor"/>
    </font>
    <font>
      <b/>
      <sz val="12"/>
      <color rgb="FFC80000"/>
      <name val="Calibri"/>
      <family val="2"/>
      <scheme val="minor"/>
    </font>
    <font>
      <sz val="12"/>
      <color theme="1"/>
      <name val="Calibri"/>
      <family val="2"/>
      <scheme val="minor"/>
    </font>
    <font>
      <b/>
      <sz val="11"/>
      <color rgb="FFC00000"/>
      <name val="Calibri"/>
      <family val="2"/>
      <scheme val="minor"/>
    </font>
    <font>
      <b/>
      <sz val="11"/>
      <name val="Calibri"/>
      <family val="2"/>
      <scheme val="minor"/>
    </font>
    <font>
      <b/>
      <sz val="12"/>
      <color rgb="FFFF0000"/>
      <name val="Calibri"/>
      <family val="2"/>
      <scheme val="minor"/>
    </font>
    <font>
      <b/>
      <sz val="12"/>
      <color rgb="FFC00000"/>
      <name val="Calibri"/>
      <family val="2"/>
      <scheme val="minor"/>
    </font>
    <font>
      <b/>
      <sz val="9"/>
      <color indexed="81"/>
      <name val="Tahoma"/>
      <family val="2"/>
    </font>
    <font>
      <b/>
      <sz val="14"/>
      <name val="Calibri"/>
      <family val="2"/>
      <scheme val="minor"/>
    </font>
    <font>
      <b/>
      <sz val="11"/>
      <color indexed="8"/>
      <name val="Calibri"/>
      <family val="2"/>
    </font>
    <font>
      <sz val="11"/>
      <color indexed="8"/>
      <name val="Calibri"/>
      <family val="2"/>
    </font>
    <font>
      <sz val="14"/>
      <color theme="1"/>
      <name val="Calibri"/>
      <family val="2"/>
      <scheme val="minor"/>
    </font>
    <font>
      <sz val="11"/>
      <color rgb="FFFF0000"/>
      <name val="Calibri"/>
      <family val="2"/>
      <scheme val="minor"/>
    </font>
    <font>
      <b/>
      <sz val="11"/>
      <color theme="6" tint="-0.249977111117893"/>
      <name val="Calibri"/>
      <family val="2"/>
      <scheme val="minor"/>
    </font>
    <font>
      <sz val="11"/>
      <color rgb="FFC00000"/>
      <name val="Calibri"/>
      <family val="2"/>
      <scheme val="minor"/>
    </font>
    <font>
      <b/>
      <i/>
      <sz val="14"/>
      <color theme="1"/>
      <name val="Calibri"/>
      <family val="2"/>
      <scheme val="minor"/>
    </font>
    <font>
      <b/>
      <sz val="14"/>
      <color theme="1"/>
      <name val="Calibri"/>
      <family val="2"/>
      <scheme val="minor"/>
    </font>
  </fonts>
  <fills count="15">
    <fill>
      <patternFill patternType="none"/>
    </fill>
    <fill>
      <patternFill patternType="gray125"/>
    </fill>
    <fill>
      <patternFill patternType="solid">
        <fgColor theme="0"/>
        <bgColor indexed="64"/>
      </patternFill>
    </fill>
    <fill>
      <patternFill patternType="solid">
        <fgColor rgb="FF89CCCC"/>
        <bgColor indexed="64"/>
      </patternFill>
    </fill>
    <fill>
      <patternFill patternType="solid">
        <fgColor rgb="FFECECCB"/>
        <bgColor indexed="64"/>
      </patternFill>
    </fill>
    <fill>
      <patternFill patternType="solid">
        <fgColor rgb="FFECECEC"/>
        <bgColor indexed="64"/>
      </patternFill>
    </fill>
    <fill>
      <patternFill patternType="solid">
        <fgColor rgb="FFFFFF99"/>
        <bgColor indexed="64"/>
      </patternFill>
    </fill>
    <fill>
      <patternFill patternType="solid">
        <fgColor theme="6" tint="0.59999389629810485"/>
        <bgColor indexed="64"/>
      </patternFill>
    </fill>
    <fill>
      <patternFill patternType="solid">
        <fgColor theme="9" tint="0.79998168889431442"/>
        <bgColor indexed="64"/>
      </patternFill>
    </fill>
    <fill>
      <patternFill patternType="solid">
        <fgColor theme="6" tint="0.39997558519241921"/>
        <bgColor indexed="64"/>
      </patternFill>
    </fill>
    <fill>
      <patternFill patternType="solid">
        <fgColor rgb="FFEAEAEA"/>
        <bgColor indexed="64"/>
      </patternFill>
    </fill>
    <fill>
      <patternFill patternType="solid">
        <fgColor theme="9" tint="0.59999389629810485"/>
        <bgColor indexed="64"/>
      </patternFill>
    </fill>
    <fill>
      <patternFill patternType="solid">
        <fgColor rgb="FFFFCCFF"/>
        <bgColor indexed="64"/>
      </patternFill>
    </fill>
    <fill>
      <patternFill patternType="solid">
        <fgColor theme="7" tint="0.79998168889431442"/>
        <bgColor indexed="64"/>
      </patternFill>
    </fill>
    <fill>
      <patternFill patternType="solid">
        <fgColor rgb="FFFFFFCC"/>
        <bgColor indexed="64"/>
      </patternFill>
    </fill>
  </fills>
  <borders count="11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right/>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Dashed">
        <color indexed="64"/>
      </left>
      <right/>
      <top style="thin">
        <color indexed="64"/>
      </top>
      <bottom/>
      <diagonal/>
    </border>
    <border>
      <left/>
      <right style="mediumDashed">
        <color indexed="64"/>
      </right>
      <top style="thin">
        <color indexed="64"/>
      </top>
      <bottom/>
      <diagonal/>
    </border>
    <border>
      <left style="mediumDashed">
        <color indexed="64"/>
      </left>
      <right/>
      <top/>
      <bottom/>
      <diagonal/>
    </border>
    <border>
      <left/>
      <right style="mediumDashed">
        <color indexed="64"/>
      </right>
      <top/>
      <bottom/>
      <diagonal/>
    </border>
    <border>
      <left style="mediumDashed">
        <color indexed="64"/>
      </left>
      <right/>
      <top/>
      <bottom style="mediumDashed">
        <color indexed="64"/>
      </bottom>
      <diagonal/>
    </border>
    <border>
      <left/>
      <right/>
      <top/>
      <bottom style="mediumDashed">
        <color indexed="64"/>
      </bottom>
      <diagonal/>
    </border>
    <border>
      <left/>
      <right style="mediumDashed">
        <color indexed="64"/>
      </right>
      <top/>
      <bottom style="mediumDash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right/>
      <top/>
      <bottom style="dotted">
        <color indexed="64"/>
      </bottom>
      <diagonal/>
    </border>
    <border>
      <left style="thick">
        <color indexed="64"/>
      </left>
      <right style="thick">
        <color indexed="64"/>
      </right>
      <top style="thick">
        <color indexed="64"/>
      </top>
      <bottom style="thick">
        <color indexed="64"/>
      </bottom>
      <diagonal/>
    </border>
    <border>
      <left/>
      <right style="thick">
        <color indexed="64"/>
      </right>
      <top style="thick">
        <color indexed="64"/>
      </top>
      <bottom style="thick">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auto="1"/>
      </left>
      <right style="thick">
        <color indexed="64"/>
      </right>
      <top style="thin">
        <color auto="1"/>
      </top>
      <bottom style="thick">
        <color indexed="64"/>
      </bottom>
      <diagonal/>
    </border>
    <border>
      <left style="thick">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ck">
        <color indexed="64"/>
      </right>
      <top style="double">
        <color indexed="64"/>
      </top>
      <bottom style="thin">
        <color indexed="64"/>
      </bottom>
      <diagonal/>
    </border>
    <border>
      <left style="thick">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ck">
        <color indexed="64"/>
      </right>
      <top style="thin">
        <color indexed="64"/>
      </top>
      <bottom style="double">
        <color indexed="64"/>
      </bottom>
      <diagonal/>
    </border>
    <border>
      <left style="thick">
        <color indexed="64"/>
      </left>
      <right style="thin">
        <color indexed="64"/>
      </right>
      <top style="thick">
        <color indexed="64"/>
      </top>
      <bottom style="double">
        <color indexed="64"/>
      </bottom>
      <diagonal/>
    </border>
    <border>
      <left style="thin">
        <color indexed="64"/>
      </left>
      <right style="thick">
        <color indexed="64"/>
      </right>
      <top style="thick">
        <color indexed="64"/>
      </top>
      <bottom style="double">
        <color indexed="64"/>
      </bottom>
      <diagonal/>
    </border>
    <border>
      <left style="thick">
        <color auto="1"/>
      </left>
      <right style="thin">
        <color auto="1"/>
      </right>
      <top style="thick">
        <color auto="1"/>
      </top>
      <bottom style="thin">
        <color auto="1"/>
      </bottom>
      <diagonal/>
    </border>
    <border>
      <left style="thin">
        <color auto="1"/>
      </left>
      <right style="thick">
        <color auto="1"/>
      </right>
      <top style="thick">
        <color auto="1"/>
      </top>
      <bottom style="thin">
        <color auto="1"/>
      </bottom>
      <diagonal/>
    </border>
    <border>
      <left style="thick">
        <color auto="1"/>
      </left>
      <right style="thin">
        <color auto="1"/>
      </right>
      <top style="thick">
        <color auto="1"/>
      </top>
      <bottom/>
      <diagonal/>
    </border>
    <border>
      <left style="thin">
        <color auto="1"/>
      </left>
      <right style="thick">
        <color auto="1"/>
      </right>
      <top style="thick">
        <color auto="1"/>
      </top>
      <bottom/>
      <diagonal/>
    </border>
    <border>
      <left style="thick">
        <color indexed="64"/>
      </left>
      <right style="thick">
        <color indexed="64"/>
      </right>
      <top style="thick">
        <color indexed="64"/>
      </top>
      <bottom style="thin">
        <color indexed="64"/>
      </bottom>
      <diagonal/>
    </border>
    <border>
      <left style="thick">
        <color indexed="64"/>
      </left>
      <right style="thick">
        <color indexed="64"/>
      </right>
      <top style="thin">
        <color indexed="64"/>
      </top>
      <bottom style="thin">
        <color indexed="64"/>
      </bottom>
      <diagonal/>
    </border>
    <border>
      <left style="thick">
        <color indexed="64"/>
      </left>
      <right style="thick">
        <color indexed="64"/>
      </right>
      <top style="thin">
        <color indexed="64"/>
      </top>
      <bottom style="thick">
        <color indexed="64"/>
      </bottom>
      <diagonal/>
    </border>
    <border>
      <left style="thin">
        <color auto="1"/>
      </left>
      <right style="thin">
        <color auto="1"/>
      </right>
      <top style="thick">
        <color auto="1"/>
      </top>
      <bottom style="thin">
        <color auto="1"/>
      </bottom>
      <diagonal/>
    </border>
    <border>
      <left style="thick">
        <color auto="1"/>
      </left>
      <right style="thin">
        <color auto="1"/>
      </right>
      <top/>
      <bottom style="thin">
        <color auto="1"/>
      </bottom>
      <diagonal/>
    </border>
    <border>
      <left style="thin">
        <color auto="1"/>
      </left>
      <right style="thick">
        <color auto="1"/>
      </right>
      <top/>
      <bottom style="thin">
        <color auto="1"/>
      </bottom>
      <diagonal/>
    </border>
    <border>
      <left style="thick">
        <color indexed="64"/>
      </left>
      <right style="thin">
        <color indexed="64"/>
      </right>
      <top style="thick">
        <color indexed="64"/>
      </top>
      <bottom style="thick">
        <color indexed="64"/>
      </bottom>
      <diagonal/>
    </border>
    <border>
      <left/>
      <right/>
      <top style="thick">
        <color indexed="64"/>
      </top>
      <bottom style="thick">
        <color indexed="64"/>
      </bottom>
      <diagonal/>
    </border>
    <border>
      <left style="thick">
        <color auto="1"/>
      </left>
      <right/>
      <top style="thick">
        <color auto="1"/>
      </top>
      <bottom style="thick">
        <color auto="1"/>
      </bottom>
      <diagonal/>
    </border>
    <border>
      <left style="thick">
        <color auto="1"/>
      </left>
      <right style="double">
        <color auto="1"/>
      </right>
      <top style="thick">
        <color auto="1"/>
      </top>
      <bottom style="thin">
        <color auto="1"/>
      </bottom>
      <diagonal/>
    </border>
    <border>
      <left style="double">
        <color auto="1"/>
      </left>
      <right style="thick">
        <color indexed="64"/>
      </right>
      <top style="thick">
        <color auto="1"/>
      </top>
      <bottom style="thin">
        <color auto="1"/>
      </bottom>
      <diagonal/>
    </border>
    <border>
      <left style="thick">
        <color auto="1"/>
      </left>
      <right style="double">
        <color auto="1"/>
      </right>
      <top style="thin">
        <color auto="1"/>
      </top>
      <bottom style="thin">
        <color auto="1"/>
      </bottom>
      <diagonal/>
    </border>
    <border>
      <left style="double">
        <color auto="1"/>
      </left>
      <right style="thick">
        <color indexed="64"/>
      </right>
      <top style="thin">
        <color auto="1"/>
      </top>
      <bottom style="thin">
        <color auto="1"/>
      </bottom>
      <diagonal/>
    </border>
    <border>
      <left style="thick">
        <color auto="1"/>
      </left>
      <right style="double">
        <color auto="1"/>
      </right>
      <top style="thin">
        <color auto="1"/>
      </top>
      <bottom style="thick">
        <color indexed="64"/>
      </bottom>
      <diagonal/>
    </border>
    <border>
      <left/>
      <right style="thick">
        <color indexed="64"/>
      </right>
      <top style="thin">
        <color indexed="64"/>
      </top>
      <bottom style="thin">
        <color indexed="64"/>
      </bottom>
      <diagonal/>
    </border>
    <border>
      <left/>
      <right style="thick">
        <color indexed="64"/>
      </right>
      <top style="thin">
        <color auto="1"/>
      </top>
      <bottom style="thick">
        <color indexed="64"/>
      </bottom>
      <diagonal/>
    </border>
    <border>
      <left style="thick">
        <color indexed="64"/>
      </left>
      <right style="double">
        <color indexed="64"/>
      </right>
      <top style="double">
        <color indexed="64"/>
      </top>
      <bottom style="thin">
        <color indexed="64"/>
      </bottom>
      <diagonal/>
    </border>
    <border>
      <left style="thin">
        <color auto="1"/>
      </left>
      <right style="thin">
        <color auto="1"/>
      </right>
      <top style="thick">
        <color auto="1"/>
      </top>
      <bottom style="thick">
        <color indexed="64"/>
      </bottom>
      <diagonal/>
    </border>
    <border>
      <left style="thin">
        <color auto="1"/>
      </left>
      <right style="thick">
        <color indexed="64"/>
      </right>
      <top style="thick">
        <color auto="1"/>
      </top>
      <bottom style="thick">
        <color indexed="64"/>
      </bottom>
      <diagonal/>
    </border>
    <border>
      <left style="medium">
        <color indexed="64"/>
      </left>
      <right/>
      <top/>
      <bottom/>
      <diagonal/>
    </border>
    <border>
      <left style="thin">
        <color auto="1"/>
      </left>
      <right style="thin">
        <color auto="1"/>
      </right>
      <top style="thick">
        <color auto="1"/>
      </top>
      <bottom/>
      <diagonal/>
    </border>
    <border>
      <left style="thick">
        <color rgb="FFFF0000"/>
      </left>
      <right style="double">
        <color auto="1"/>
      </right>
      <top style="thick">
        <color rgb="FFFF0000"/>
      </top>
      <bottom style="thin">
        <color auto="1"/>
      </bottom>
      <diagonal/>
    </border>
    <border>
      <left style="double">
        <color auto="1"/>
      </left>
      <right style="thick">
        <color rgb="FFFF0000"/>
      </right>
      <top style="thick">
        <color rgb="FFFF0000"/>
      </top>
      <bottom style="thin">
        <color auto="1"/>
      </bottom>
      <diagonal/>
    </border>
    <border>
      <left style="thick">
        <color rgb="FFFF0000"/>
      </left>
      <right style="double">
        <color auto="1"/>
      </right>
      <top style="thin">
        <color auto="1"/>
      </top>
      <bottom style="thin">
        <color auto="1"/>
      </bottom>
      <diagonal/>
    </border>
    <border>
      <left style="double">
        <color auto="1"/>
      </left>
      <right style="thick">
        <color rgb="FFFF0000"/>
      </right>
      <top style="thin">
        <color auto="1"/>
      </top>
      <bottom style="thin">
        <color auto="1"/>
      </bottom>
      <diagonal/>
    </border>
    <border>
      <left style="thick">
        <color rgb="FFFF0000"/>
      </left>
      <right style="double">
        <color auto="1"/>
      </right>
      <top style="thin">
        <color auto="1"/>
      </top>
      <bottom style="thick">
        <color rgb="FFFF0000"/>
      </bottom>
      <diagonal/>
    </border>
    <border>
      <left style="double">
        <color auto="1"/>
      </left>
      <right style="thick">
        <color rgb="FFFF0000"/>
      </right>
      <top style="thin">
        <color auto="1"/>
      </top>
      <bottom style="thick">
        <color rgb="FFFF0000"/>
      </bottom>
      <diagonal/>
    </border>
    <border>
      <left style="thick">
        <color auto="1"/>
      </left>
      <right style="double">
        <color auto="1"/>
      </right>
      <top style="thick">
        <color auto="1"/>
      </top>
      <bottom style="thick">
        <color rgb="FFFF0000"/>
      </bottom>
      <diagonal/>
    </border>
    <border>
      <left style="double">
        <color auto="1"/>
      </left>
      <right style="thick">
        <color auto="1"/>
      </right>
      <top style="thick">
        <color auto="1"/>
      </top>
      <bottom style="thick">
        <color rgb="FFFF0000"/>
      </bottom>
      <diagonal/>
    </border>
    <border>
      <left/>
      <right/>
      <top style="medium">
        <color indexed="64"/>
      </top>
      <bottom/>
      <diagonal/>
    </border>
    <border>
      <left style="thick">
        <color indexed="64"/>
      </left>
      <right style="thick">
        <color indexed="64"/>
      </right>
      <top style="thick">
        <color indexed="64"/>
      </top>
      <bottom style="double">
        <color indexed="64"/>
      </bottom>
      <diagonal/>
    </border>
    <border>
      <left style="thick">
        <color indexed="64"/>
      </left>
      <right style="thick">
        <color indexed="64"/>
      </right>
      <top/>
      <bottom style="thin">
        <color indexed="64"/>
      </bottom>
      <diagonal/>
    </border>
    <border>
      <left style="thick">
        <color indexed="64"/>
      </left>
      <right style="thick">
        <color indexed="64"/>
      </right>
      <top style="thin">
        <color indexed="64"/>
      </top>
      <bottom/>
      <diagonal/>
    </border>
    <border>
      <left style="thick">
        <color rgb="FF00B050"/>
      </left>
      <right style="thin">
        <color auto="1"/>
      </right>
      <top style="thick">
        <color rgb="FF00B050"/>
      </top>
      <bottom style="thin">
        <color auto="1"/>
      </bottom>
      <diagonal/>
    </border>
    <border>
      <left style="thin">
        <color auto="1"/>
      </left>
      <right style="thin">
        <color auto="1"/>
      </right>
      <top style="thick">
        <color rgb="FF00B050"/>
      </top>
      <bottom style="thin">
        <color auto="1"/>
      </bottom>
      <diagonal/>
    </border>
    <border>
      <left style="thin">
        <color auto="1"/>
      </left>
      <right style="thick">
        <color rgb="FF00B050"/>
      </right>
      <top style="thick">
        <color rgb="FF00B050"/>
      </top>
      <bottom style="thin">
        <color auto="1"/>
      </bottom>
      <diagonal/>
    </border>
    <border>
      <left style="thick">
        <color rgb="FF00B050"/>
      </left>
      <right style="thin">
        <color auto="1"/>
      </right>
      <top style="thin">
        <color indexed="64"/>
      </top>
      <bottom style="double">
        <color indexed="64"/>
      </bottom>
      <diagonal/>
    </border>
    <border>
      <left style="thin">
        <color auto="1"/>
      </left>
      <right style="thick">
        <color rgb="FF00B050"/>
      </right>
      <top style="thin">
        <color indexed="64"/>
      </top>
      <bottom style="double">
        <color indexed="64"/>
      </bottom>
      <diagonal/>
    </border>
    <border>
      <left style="thick">
        <color rgb="FF00B050"/>
      </left>
      <right style="thin">
        <color auto="1"/>
      </right>
      <top/>
      <bottom style="thin">
        <color auto="1"/>
      </bottom>
      <diagonal/>
    </border>
    <border>
      <left style="thin">
        <color auto="1"/>
      </left>
      <right style="thick">
        <color rgb="FF00B050"/>
      </right>
      <top/>
      <bottom style="thin">
        <color auto="1"/>
      </bottom>
      <diagonal/>
    </border>
    <border>
      <left style="thin">
        <color auto="1"/>
      </left>
      <right style="thick">
        <color rgb="FF00B050"/>
      </right>
      <top style="thin">
        <color indexed="64"/>
      </top>
      <bottom style="thin">
        <color indexed="64"/>
      </bottom>
      <diagonal/>
    </border>
    <border>
      <left style="thick">
        <color rgb="FF00B050"/>
      </left>
      <right style="thin">
        <color auto="1"/>
      </right>
      <top style="thin">
        <color indexed="64"/>
      </top>
      <bottom style="thin">
        <color indexed="64"/>
      </bottom>
      <diagonal/>
    </border>
    <border>
      <left style="thick">
        <color rgb="FF00B050"/>
      </left>
      <right style="thin">
        <color auto="1"/>
      </right>
      <top style="thin">
        <color indexed="64"/>
      </top>
      <bottom style="thick">
        <color rgb="FF00B050"/>
      </bottom>
      <diagonal/>
    </border>
    <border>
      <left style="thin">
        <color auto="1"/>
      </left>
      <right style="thin">
        <color auto="1"/>
      </right>
      <top style="thin">
        <color indexed="64"/>
      </top>
      <bottom style="thick">
        <color rgb="FF00B050"/>
      </bottom>
      <diagonal/>
    </border>
    <border>
      <left style="thin">
        <color auto="1"/>
      </left>
      <right style="thick">
        <color rgb="FF00B050"/>
      </right>
      <top style="thin">
        <color auto="1"/>
      </top>
      <bottom style="thick">
        <color rgb="FF00B050"/>
      </bottom>
      <diagonal/>
    </border>
    <border>
      <left style="thick">
        <color rgb="FFFF0000"/>
      </left>
      <right/>
      <top style="thick">
        <color rgb="FFFF0000"/>
      </top>
      <bottom/>
      <diagonal/>
    </border>
    <border>
      <left style="thick">
        <color indexed="64"/>
      </left>
      <right style="thick">
        <color rgb="FFFF0000"/>
      </right>
      <top style="thick">
        <color rgb="FFFF0000"/>
      </top>
      <bottom style="thin">
        <color indexed="64"/>
      </bottom>
      <diagonal/>
    </border>
    <border>
      <left style="thick">
        <color rgb="FFFF0000"/>
      </left>
      <right/>
      <top/>
      <bottom/>
      <diagonal/>
    </border>
    <border>
      <left style="thick">
        <color indexed="64"/>
      </left>
      <right style="thick">
        <color rgb="FFFF0000"/>
      </right>
      <top style="thin">
        <color indexed="64"/>
      </top>
      <bottom style="thin">
        <color indexed="64"/>
      </bottom>
      <diagonal/>
    </border>
    <border>
      <left style="thick">
        <color rgb="FFFF0000"/>
      </left>
      <right/>
      <top/>
      <bottom style="thick">
        <color rgb="FFFF0000"/>
      </bottom>
      <diagonal/>
    </border>
    <border>
      <left style="thick">
        <color indexed="64"/>
      </left>
      <right style="thick">
        <color rgb="FFFF0000"/>
      </right>
      <top style="thin">
        <color indexed="64"/>
      </top>
      <bottom style="thick">
        <color rgb="FFFF0000"/>
      </bottom>
      <diagonal/>
    </border>
    <border>
      <left/>
      <right style="thin">
        <color indexed="64"/>
      </right>
      <top style="thick">
        <color rgb="FF00B050"/>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indexed="64"/>
      </right>
      <top style="thin">
        <color indexed="64"/>
      </top>
      <bottom style="double">
        <color indexed="64"/>
      </bottom>
      <diagonal/>
    </border>
    <border>
      <left style="thin">
        <color indexed="64"/>
      </left>
      <right style="medium">
        <color auto="1"/>
      </right>
      <top style="thin">
        <color indexed="64"/>
      </top>
      <bottom style="double">
        <color indexed="64"/>
      </bottom>
      <diagonal/>
    </border>
    <border>
      <left style="medium">
        <color auto="1"/>
      </left>
      <right style="thin">
        <color auto="1"/>
      </right>
      <top/>
      <bottom style="thin">
        <color auto="1"/>
      </bottom>
      <diagonal/>
    </border>
    <border>
      <left style="thick">
        <color auto="1"/>
      </left>
      <right style="medium">
        <color auto="1"/>
      </right>
      <top/>
      <bottom style="thin">
        <color auto="1"/>
      </bottom>
      <diagonal/>
    </border>
    <border>
      <left style="medium">
        <color auto="1"/>
      </left>
      <right style="thin">
        <color auto="1"/>
      </right>
      <top/>
      <bottom style="medium">
        <color auto="1"/>
      </bottom>
      <diagonal/>
    </border>
    <border>
      <left style="thick">
        <color auto="1"/>
      </left>
      <right style="thin">
        <color auto="1"/>
      </right>
      <top/>
      <bottom style="medium">
        <color auto="1"/>
      </bottom>
      <diagonal/>
    </border>
    <border>
      <left style="thick">
        <color auto="1"/>
      </left>
      <right style="medium">
        <color auto="1"/>
      </right>
      <top/>
      <bottom style="medium">
        <color auto="1"/>
      </bottom>
      <diagonal/>
    </border>
  </borders>
  <cellStyleXfs count="4">
    <xf numFmtId="0" fontId="0" fillId="0" borderId="0"/>
    <xf numFmtId="44" fontId="1" fillId="0" borderId="0" applyFont="0" applyFill="0" applyBorder="0" applyAlignment="0" applyProtection="0"/>
    <xf numFmtId="44" fontId="1" fillId="0" borderId="0" applyFont="0" applyFill="0" applyBorder="0" applyAlignment="0" applyProtection="0"/>
    <xf numFmtId="0" fontId="1" fillId="0" borderId="0"/>
  </cellStyleXfs>
  <cellXfs count="509">
    <xf numFmtId="0" fontId="0" fillId="0" borderId="0" xfId="0"/>
    <xf numFmtId="0" fontId="2" fillId="0" borderId="0" xfId="0" applyFont="1"/>
    <xf numFmtId="0" fontId="0" fillId="0" borderId="0" xfId="0" applyAlignment="1">
      <alignment horizontal="right"/>
    </xf>
    <xf numFmtId="0" fontId="0" fillId="0" borderId="1" xfId="0" applyBorder="1"/>
    <xf numFmtId="0" fontId="0" fillId="0" borderId="2" xfId="0" applyBorder="1"/>
    <xf numFmtId="0" fontId="0" fillId="0" borderId="3" xfId="0" applyBorder="1"/>
    <xf numFmtId="0" fontId="0" fillId="0" borderId="4" xfId="0" applyBorder="1"/>
    <xf numFmtId="0" fontId="0" fillId="0" borderId="5" xfId="0" applyBorder="1"/>
    <xf numFmtId="0" fontId="0" fillId="0" borderId="8" xfId="0" applyBorder="1"/>
    <xf numFmtId="166" fontId="0" fillId="0" borderId="0" xfId="1" applyNumberFormat="1" applyFont="1"/>
    <xf numFmtId="0" fontId="0" fillId="0" borderId="2" xfId="0" applyBorder="1" applyAlignment="1">
      <alignment horizontal="center"/>
    </xf>
    <xf numFmtId="0" fontId="0" fillId="0" borderId="6" xfId="0" applyBorder="1"/>
    <xf numFmtId="0" fontId="0" fillId="0" borderId="7" xfId="0" applyBorder="1" applyAlignment="1">
      <alignment horizontal="center"/>
    </xf>
    <xf numFmtId="0" fontId="0" fillId="5" borderId="1" xfId="0" applyFill="1" applyBorder="1"/>
    <xf numFmtId="0" fontId="0" fillId="5" borderId="2" xfId="0" applyFill="1" applyBorder="1"/>
    <xf numFmtId="0" fontId="0" fillId="5" borderId="3" xfId="0" applyFill="1" applyBorder="1"/>
    <xf numFmtId="0" fontId="0" fillId="5" borderId="4" xfId="0" applyFill="1" applyBorder="1"/>
    <xf numFmtId="0" fontId="0" fillId="5" borderId="0" xfId="0" applyFill="1"/>
    <xf numFmtId="44" fontId="0" fillId="5" borderId="0" xfId="0" applyNumberFormat="1" applyFill="1" applyAlignment="1">
      <alignment vertical="center"/>
    </xf>
    <xf numFmtId="0" fontId="0" fillId="5" borderId="5" xfId="0" applyFill="1" applyBorder="1"/>
    <xf numFmtId="0" fontId="3" fillId="5" borderId="0" xfId="0" applyFont="1" applyFill="1"/>
    <xf numFmtId="0" fontId="11" fillId="5" borderId="0" xfId="0" applyFont="1" applyFill="1" applyAlignment="1">
      <alignment horizontal="left" vertical="center"/>
    </xf>
    <xf numFmtId="0" fontId="0" fillId="5" borderId="0" xfId="0" applyFill="1" applyAlignment="1">
      <alignment vertical="center"/>
    </xf>
    <xf numFmtId="0" fontId="0" fillId="5" borderId="0" xfId="0" applyFill="1" applyAlignment="1">
      <alignment horizontal="right" vertical="center"/>
    </xf>
    <xf numFmtId="168" fontId="0" fillId="5" borderId="0" xfId="0" applyNumberFormat="1" applyFill="1"/>
    <xf numFmtId="0" fontId="0" fillId="3" borderId="1" xfId="0" applyFill="1" applyBorder="1"/>
    <xf numFmtId="0" fontId="5" fillId="3" borderId="2" xfId="0" applyFont="1" applyFill="1" applyBorder="1"/>
    <xf numFmtId="0" fontId="0" fillId="3" borderId="2" xfId="0" applyFill="1" applyBorder="1"/>
    <xf numFmtId="0" fontId="0" fillId="3" borderId="2" xfId="0" applyFill="1" applyBorder="1" applyAlignment="1">
      <alignment vertical="center"/>
    </xf>
    <xf numFmtId="0" fontId="0" fillId="3" borderId="3" xfId="0" applyFill="1" applyBorder="1"/>
    <xf numFmtId="0" fontId="0" fillId="3" borderId="4" xfId="0" applyFill="1" applyBorder="1"/>
    <xf numFmtId="0" fontId="5" fillId="3" borderId="0" xfId="0" applyFont="1" applyFill="1"/>
    <xf numFmtId="0" fontId="0" fillId="3" borderId="13" xfId="0" applyFill="1" applyBorder="1"/>
    <xf numFmtId="0" fontId="0" fillId="3" borderId="0" xfId="0" applyFill="1"/>
    <xf numFmtId="0" fontId="0" fillId="3" borderId="0" xfId="0" applyFill="1" applyAlignment="1">
      <alignment vertical="center"/>
    </xf>
    <xf numFmtId="0" fontId="0" fillId="3" borderId="5" xfId="0" applyFill="1" applyBorder="1"/>
    <xf numFmtId="0" fontId="3" fillId="3" borderId="0" xfId="0" applyFont="1" applyFill="1"/>
    <xf numFmtId="0" fontId="11" fillId="3" borderId="0" xfId="0" applyFont="1" applyFill="1" applyAlignment="1">
      <alignment horizontal="left" vertical="center"/>
    </xf>
    <xf numFmtId="0" fontId="14" fillId="3" borderId="0" xfId="0" applyFont="1" applyFill="1" applyAlignment="1">
      <alignment horizontal="left" vertical="center"/>
    </xf>
    <xf numFmtId="0" fontId="0" fillId="3" borderId="0" xfId="0" applyFill="1" applyAlignment="1">
      <alignment horizontal="left"/>
    </xf>
    <xf numFmtId="0" fontId="0" fillId="3" borderId="0" xfId="0" applyFill="1" applyAlignment="1">
      <alignment horizontal="right" vertical="center"/>
    </xf>
    <xf numFmtId="44" fontId="0" fillId="3" borderId="16" xfId="0" applyNumberFormat="1" applyFill="1" applyBorder="1" applyAlignment="1">
      <alignment vertical="center"/>
    </xf>
    <xf numFmtId="0" fontId="13" fillId="3" borderId="0" xfId="0" applyFont="1" applyFill="1" applyAlignment="1">
      <alignment horizontal="left" vertical="top" wrapText="1"/>
    </xf>
    <xf numFmtId="44" fontId="0" fillId="3" borderId="0" xfId="0" applyNumberFormat="1" applyFill="1" applyAlignment="1">
      <alignment vertical="center"/>
    </xf>
    <xf numFmtId="0" fontId="0" fillId="3" borderId="6" xfId="0" applyFill="1" applyBorder="1"/>
    <xf numFmtId="0" fontId="0" fillId="3" borderId="7" xfId="0" applyFill="1" applyBorder="1"/>
    <xf numFmtId="0" fontId="0" fillId="3" borderId="7" xfId="0" applyFill="1" applyBorder="1" applyAlignment="1">
      <alignment vertical="center"/>
    </xf>
    <xf numFmtId="0" fontId="0" fillId="3" borderId="8" xfId="0" applyFill="1" applyBorder="1"/>
    <xf numFmtId="0" fontId="0" fillId="5" borderId="2" xfId="0" applyFill="1" applyBorder="1" applyAlignment="1">
      <alignment vertical="center"/>
    </xf>
    <xf numFmtId="0" fontId="5" fillId="5" borderId="0" xfId="0" applyFont="1" applyFill="1"/>
    <xf numFmtId="0" fontId="9" fillId="5" borderId="0" xfId="0" applyFont="1" applyFill="1"/>
    <xf numFmtId="0" fontId="0" fillId="5" borderId="0" xfId="0" applyFill="1" applyAlignment="1">
      <alignment horizontal="left"/>
    </xf>
    <xf numFmtId="164" fontId="0" fillId="5" borderId="0" xfId="0" applyNumberFormat="1" applyFill="1"/>
    <xf numFmtId="0" fontId="0" fillId="5" borderId="0" xfId="0" applyFill="1" applyAlignment="1">
      <alignment wrapText="1"/>
    </xf>
    <xf numFmtId="0" fontId="0" fillId="5" borderId="6" xfId="0" applyFill="1" applyBorder="1"/>
    <xf numFmtId="0" fontId="0" fillId="5" borderId="7" xfId="0" applyFill="1" applyBorder="1"/>
    <xf numFmtId="0" fontId="0" fillId="5" borderId="7" xfId="0" applyFill="1" applyBorder="1" applyAlignment="1">
      <alignment vertical="center"/>
    </xf>
    <xf numFmtId="0" fontId="0" fillId="5" borderId="8" xfId="0" applyFill="1" applyBorder="1"/>
    <xf numFmtId="0" fontId="6" fillId="3" borderId="2" xfId="0" applyFont="1" applyFill="1" applyBorder="1"/>
    <xf numFmtId="0" fontId="6" fillId="3" borderId="0" xfId="0" applyFont="1" applyFill="1"/>
    <xf numFmtId="0" fontId="0" fillId="3" borderId="0" xfId="0" applyFill="1" applyAlignment="1">
      <alignment vertical="top"/>
    </xf>
    <xf numFmtId="0" fontId="0" fillId="3" borderId="0" xfId="0" applyFill="1" applyAlignment="1">
      <alignment vertical="center" wrapText="1"/>
    </xf>
    <xf numFmtId="0" fontId="12" fillId="3" borderId="0" xfId="0" applyFont="1" applyFill="1" applyAlignment="1">
      <alignment horizontal="left" vertical="center" wrapText="1"/>
    </xf>
    <xf numFmtId="164" fontId="0" fillId="3" borderId="0" xfId="0" applyNumberFormat="1" applyFill="1" applyAlignment="1">
      <alignment vertical="center"/>
    </xf>
    <xf numFmtId="44" fontId="0" fillId="3" borderId="14" xfId="0" applyNumberFormat="1" applyFill="1" applyBorder="1" applyAlignment="1">
      <alignment vertical="center"/>
    </xf>
    <xf numFmtId="0" fontId="12" fillId="5" borderId="2" xfId="0" applyFont="1" applyFill="1" applyBorder="1" applyAlignment="1">
      <alignment horizontal="left" vertical="top" wrapText="1"/>
    </xf>
    <xf numFmtId="0" fontId="0" fillId="4" borderId="0" xfId="0" applyFill="1"/>
    <xf numFmtId="0" fontId="12" fillId="5" borderId="0" xfId="0" applyFont="1" applyFill="1" applyAlignment="1">
      <alignment vertical="top"/>
    </xf>
    <xf numFmtId="0" fontId="17" fillId="5" borderId="0" xfId="0" applyFont="1" applyFill="1" applyAlignment="1">
      <alignment vertical="top" wrapText="1"/>
    </xf>
    <xf numFmtId="0" fontId="0" fillId="5" borderId="0" xfId="0" applyFill="1" applyAlignment="1">
      <alignment vertical="top"/>
    </xf>
    <xf numFmtId="0" fontId="0" fillId="5" borderId="0" xfId="0" applyFill="1" applyAlignment="1">
      <alignment horizontal="center" wrapText="1"/>
    </xf>
    <xf numFmtId="164" fontId="0" fillId="5" borderId="0" xfId="0" applyNumberFormat="1" applyFill="1" applyAlignment="1">
      <alignment horizontal="right" vertical="center"/>
    </xf>
    <xf numFmtId="166" fontId="0" fillId="5" borderId="0" xfId="0" applyNumberFormat="1" applyFill="1" applyAlignment="1">
      <alignment vertical="center"/>
    </xf>
    <xf numFmtId="164" fontId="0" fillId="5" borderId="0" xfId="0" applyNumberFormat="1" applyFill="1" applyAlignment="1">
      <alignment vertical="center"/>
    </xf>
    <xf numFmtId="0" fontId="10" fillId="5" borderId="0" xfId="0" applyFont="1" applyFill="1"/>
    <xf numFmtId="0" fontId="7" fillId="5" borderId="0" xfId="0" applyFont="1" applyFill="1" applyAlignment="1">
      <alignment vertical="top"/>
    </xf>
    <xf numFmtId="165" fontId="0" fillId="5" borderId="0" xfId="0" applyNumberFormat="1" applyFill="1" applyAlignment="1">
      <alignment vertical="center"/>
    </xf>
    <xf numFmtId="169" fontId="0" fillId="5" borderId="0" xfId="0" applyNumberFormat="1" applyFill="1" applyAlignment="1">
      <alignment vertical="center"/>
    </xf>
    <xf numFmtId="0" fontId="0" fillId="5" borderId="7" xfId="0" applyFill="1" applyBorder="1" applyAlignment="1">
      <alignment horizontal="right" vertical="center"/>
    </xf>
    <xf numFmtId="0" fontId="6" fillId="3" borderId="0" xfId="0" applyFont="1" applyFill="1" applyAlignment="1">
      <alignment vertical="top"/>
    </xf>
    <xf numFmtId="0" fontId="0" fillId="2" borderId="0" xfId="0" applyFill="1"/>
    <xf numFmtId="0" fontId="17" fillId="3" borderId="0" xfId="0" applyFont="1" applyFill="1" applyAlignment="1">
      <alignment vertical="top"/>
    </xf>
    <xf numFmtId="166" fontId="0" fillId="5" borderId="0" xfId="1" applyNumberFormat="1" applyFont="1" applyFill="1" applyBorder="1" applyAlignment="1" applyProtection="1">
      <alignment vertical="center"/>
    </xf>
    <xf numFmtId="0" fontId="0" fillId="5" borderId="0" xfId="0" applyFill="1" applyAlignment="1">
      <alignment horizontal="left" wrapText="1"/>
    </xf>
    <xf numFmtId="0" fontId="0" fillId="5" borderId="0" xfId="0" applyFill="1" applyAlignment="1">
      <alignment vertical="center" wrapText="1"/>
    </xf>
    <xf numFmtId="0" fontId="11" fillId="5" borderId="0" xfId="0" applyFont="1" applyFill="1" applyAlignment="1">
      <alignment vertical="center"/>
    </xf>
    <xf numFmtId="0" fontId="0" fillId="5" borderId="0" xfId="0" applyFill="1" applyAlignment="1">
      <alignment vertical="top" wrapText="1"/>
    </xf>
    <xf numFmtId="0" fontId="0" fillId="5" borderId="0" xfId="0" applyFill="1" applyAlignment="1">
      <alignment horizontal="left" vertical="center" wrapText="1"/>
    </xf>
    <xf numFmtId="0" fontId="13" fillId="5" borderId="0" xfId="0" applyFont="1" applyFill="1" applyAlignment="1">
      <alignment horizontal="left" vertical="center" wrapText="1"/>
    </xf>
    <xf numFmtId="0" fontId="0" fillId="5" borderId="27" xfId="0" applyFill="1" applyBorder="1"/>
    <xf numFmtId="0" fontId="12" fillId="5" borderId="28" xfId="0" applyFont="1" applyFill="1" applyBorder="1" applyAlignment="1">
      <alignment horizontal="left" vertical="top" wrapText="1"/>
    </xf>
    <xf numFmtId="0" fontId="0" fillId="5" borderId="28" xfId="0" applyFill="1" applyBorder="1"/>
    <xf numFmtId="0" fontId="0" fillId="5" borderId="28" xfId="0" applyFill="1" applyBorder="1" applyAlignment="1">
      <alignment vertical="center"/>
    </xf>
    <xf numFmtId="0" fontId="0" fillId="5" borderId="29" xfId="0" applyFill="1" applyBorder="1"/>
    <xf numFmtId="0" fontId="13" fillId="5" borderId="9" xfId="0" applyFont="1" applyFill="1" applyBorder="1" applyAlignment="1">
      <alignment horizontal="left" vertical="center" wrapText="1"/>
    </xf>
    <xf numFmtId="0" fontId="0" fillId="5" borderId="9" xfId="0" applyFill="1" applyBorder="1" applyAlignment="1">
      <alignment vertical="top" wrapText="1"/>
    </xf>
    <xf numFmtId="0" fontId="0" fillId="5" borderId="9" xfId="0" applyFill="1" applyBorder="1"/>
    <xf numFmtId="0" fontId="0" fillId="5" borderId="9" xfId="0" applyFill="1" applyBorder="1" applyAlignment="1">
      <alignment vertical="center"/>
    </xf>
    <xf numFmtId="44" fontId="0" fillId="5" borderId="9" xfId="0" applyNumberFormat="1" applyFill="1" applyBorder="1" applyAlignment="1">
      <alignment vertical="center"/>
    </xf>
    <xf numFmtId="0" fontId="0" fillId="5" borderId="10" xfId="0" applyFill="1" applyBorder="1"/>
    <xf numFmtId="0" fontId="8" fillId="3" borderId="2" xfId="0" applyFont="1" applyFill="1" applyBorder="1" applyAlignment="1">
      <alignment vertical="center"/>
    </xf>
    <xf numFmtId="0" fontId="16" fillId="3" borderId="2" xfId="0" applyFont="1" applyFill="1" applyBorder="1" applyAlignment="1">
      <alignment vertical="center" wrapText="1"/>
    </xf>
    <xf numFmtId="0" fontId="8" fillId="3" borderId="0" xfId="0" applyFont="1" applyFill="1" applyAlignment="1">
      <alignment vertical="center"/>
    </xf>
    <xf numFmtId="0" fontId="16" fillId="3" borderId="0" xfId="0" applyFont="1" applyFill="1" applyAlignment="1">
      <alignment vertical="center" wrapText="1"/>
    </xf>
    <xf numFmtId="0" fontId="8" fillId="3" borderId="0" xfId="0" applyFont="1" applyFill="1" applyAlignment="1">
      <alignment horizontal="center" vertical="center"/>
    </xf>
    <xf numFmtId="44" fontId="0" fillId="0" borderId="0" xfId="0" applyNumberFormat="1"/>
    <xf numFmtId="0" fontId="0" fillId="3" borderId="12" xfId="0" applyFill="1" applyBorder="1" applyAlignment="1">
      <alignment horizontal="right" vertical="center"/>
    </xf>
    <xf numFmtId="0" fontId="0" fillId="3" borderId="5" xfId="0" applyFill="1" applyBorder="1" applyAlignment="1">
      <alignment horizontal="center" vertical="center"/>
    </xf>
    <xf numFmtId="0" fontId="15" fillId="3" borderId="0" xfId="0" applyFont="1" applyFill="1" applyAlignment="1">
      <alignment horizontal="right" vertical="center"/>
    </xf>
    <xf numFmtId="0" fontId="2" fillId="3" borderId="0" xfId="0" applyFont="1" applyFill="1" applyAlignment="1">
      <alignment horizontal="right" vertical="center"/>
    </xf>
    <xf numFmtId="0" fontId="0" fillId="3" borderId="0" xfId="0" applyFill="1" applyAlignment="1">
      <alignment vertical="top" wrapText="1"/>
    </xf>
    <xf numFmtId="0" fontId="0" fillId="0" borderId="0" xfId="0" quotePrefix="1"/>
    <xf numFmtId="0" fontId="13" fillId="5" borderId="30" xfId="0" applyFont="1" applyFill="1" applyBorder="1" applyAlignment="1">
      <alignment vertical="center" wrapText="1"/>
    </xf>
    <xf numFmtId="0" fontId="13" fillId="5" borderId="7" xfId="0" applyFont="1" applyFill="1" applyBorder="1" applyAlignment="1">
      <alignment vertical="center" wrapText="1"/>
    </xf>
    <xf numFmtId="0" fontId="18" fillId="3" borderId="0" xfId="0" applyFont="1" applyFill="1" applyAlignment="1">
      <alignment vertical="top"/>
    </xf>
    <xf numFmtId="0" fontId="2" fillId="0" borderId="4" xfId="0" applyFont="1" applyBorder="1"/>
    <xf numFmtId="0" fontId="0" fillId="0" borderId="4" xfId="0" applyBorder="1" applyAlignment="1">
      <alignment horizontal="right"/>
    </xf>
    <xf numFmtId="0" fontId="0" fillId="0" borderId="7" xfId="0" applyBorder="1"/>
    <xf numFmtId="0" fontId="0" fillId="0" borderId="4" xfId="0" applyBorder="1" applyAlignment="1">
      <alignment horizontal="left"/>
    </xf>
    <xf numFmtId="0" fontId="3" fillId="2" borderId="16" xfId="0" applyFont="1" applyFill="1" applyBorder="1" applyAlignment="1" applyProtection="1">
      <alignment horizontal="center" vertical="center"/>
      <protection locked="0"/>
    </xf>
    <xf numFmtId="164" fontId="0" fillId="5" borderId="16" xfId="0" applyNumberFormat="1" applyFill="1" applyBorder="1" applyAlignment="1">
      <alignment horizontal="right" vertical="center"/>
    </xf>
    <xf numFmtId="44" fontId="0" fillId="3" borderId="16" xfId="0" applyNumberFormat="1" applyFill="1" applyBorder="1" applyAlignment="1">
      <alignment horizontal="right" vertical="center"/>
    </xf>
    <xf numFmtId="44" fontId="0" fillId="3" borderId="18" xfId="0" applyNumberFormat="1" applyFill="1" applyBorder="1" applyAlignment="1">
      <alignment horizontal="right" vertical="center"/>
    </xf>
    <xf numFmtId="44" fontId="0" fillId="5" borderId="16" xfId="0" applyNumberFormat="1" applyFill="1" applyBorder="1" applyAlignment="1">
      <alignment horizontal="right" vertical="center"/>
    </xf>
    <xf numFmtId="0" fontId="0" fillId="5" borderId="0" xfId="0" applyFill="1" applyAlignment="1">
      <alignment horizontal="center"/>
    </xf>
    <xf numFmtId="0" fontId="0" fillId="5" borderId="18" xfId="0" applyFill="1" applyBorder="1" applyAlignment="1">
      <alignment horizontal="left" vertical="center"/>
    </xf>
    <xf numFmtId="44" fontId="0" fillId="3" borderId="0" xfId="0" applyNumberFormat="1" applyFill="1" applyAlignment="1">
      <alignment horizontal="right" vertical="center"/>
    </xf>
    <xf numFmtId="166" fontId="11" fillId="5" borderId="16" xfId="1" applyNumberFormat="1" applyFont="1" applyFill="1" applyBorder="1" applyAlignment="1" applyProtection="1">
      <alignment horizontal="right" vertical="center"/>
    </xf>
    <xf numFmtId="44" fontId="0" fillId="7" borderId="11" xfId="1" applyFont="1" applyFill="1" applyBorder="1"/>
    <xf numFmtId="44" fontId="0" fillId="7" borderId="36" xfId="1" applyFont="1" applyFill="1" applyBorder="1"/>
    <xf numFmtId="44" fontId="0" fillId="7" borderId="37" xfId="1" applyFont="1" applyFill="1" applyBorder="1"/>
    <xf numFmtId="44" fontId="0" fillId="7" borderId="38" xfId="1" applyFont="1" applyFill="1" applyBorder="1"/>
    <xf numFmtId="44" fontId="0" fillId="7" borderId="39" xfId="1" applyFont="1" applyFill="1" applyBorder="1"/>
    <xf numFmtId="44" fontId="0" fillId="7" borderId="40" xfId="1" applyFont="1" applyFill="1" applyBorder="1"/>
    <xf numFmtId="44" fontId="0" fillId="7" borderId="41" xfId="1" applyFont="1" applyFill="1" applyBorder="1"/>
    <xf numFmtId="0" fontId="0" fillId="7" borderId="53" xfId="0" applyFill="1" applyBorder="1"/>
    <xf numFmtId="0" fontId="0" fillId="7" borderId="55" xfId="0" applyFill="1" applyBorder="1"/>
    <xf numFmtId="0" fontId="0" fillId="7" borderId="31" xfId="0" applyFill="1" applyBorder="1" applyAlignment="1">
      <alignment horizontal="right"/>
    </xf>
    <xf numFmtId="170" fontId="0" fillId="7" borderId="53" xfId="0" applyNumberFormat="1" applyFill="1" applyBorder="1"/>
    <xf numFmtId="170" fontId="0" fillId="7" borderId="54" xfId="0" applyNumberFormat="1" applyFill="1" applyBorder="1"/>
    <xf numFmtId="0" fontId="0" fillId="7" borderId="59" xfId="0" applyFill="1" applyBorder="1"/>
    <xf numFmtId="0" fontId="0" fillId="7" borderId="32" xfId="0" applyFill="1" applyBorder="1"/>
    <xf numFmtId="0" fontId="0" fillId="7" borderId="60" xfId="0" applyFill="1" applyBorder="1"/>
    <xf numFmtId="0" fontId="0" fillId="7" borderId="31" xfId="0" applyFill="1" applyBorder="1"/>
    <xf numFmtId="0" fontId="0" fillId="8" borderId="34" xfId="0" applyFill="1" applyBorder="1"/>
    <xf numFmtId="0" fontId="0" fillId="8" borderId="35" xfId="0" applyFill="1" applyBorder="1"/>
    <xf numFmtId="44" fontId="0" fillId="7" borderId="49" xfId="0" applyNumberFormat="1" applyFill="1" applyBorder="1"/>
    <xf numFmtId="44" fontId="0" fillId="7" borderId="56" xfId="0" applyNumberFormat="1" applyFill="1" applyBorder="1"/>
    <xf numFmtId="44" fontId="0" fillId="7" borderId="50" xfId="0" applyNumberFormat="1" applyFill="1" applyBorder="1"/>
    <xf numFmtId="44" fontId="0" fillId="7" borderId="36" xfId="0" applyNumberFormat="1" applyFill="1" applyBorder="1"/>
    <xf numFmtId="44" fontId="0" fillId="7" borderId="11" xfId="0" applyNumberFormat="1" applyFill="1" applyBorder="1"/>
    <xf numFmtId="44" fontId="0" fillId="7" borderId="37" xfId="0" applyNumberFormat="1" applyFill="1" applyBorder="1"/>
    <xf numFmtId="44" fontId="0" fillId="7" borderId="38" xfId="0" applyNumberFormat="1" applyFill="1" applyBorder="1"/>
    <xf numFmtId="44" fontId="0" fillId="7" borderId="39" xfId="0" applyNumberFormat="1" applyFill="1" applyBorder="1"/>
    <xf numFmtId="44" fontId="0" fillId="7" borderId="40" xfId="0" applyNumberFormat="1" applyFill="1" applyBorder="1"/>
    <xf numFmtId="0" fontId="0" fillId="7" borderId="61" xfId="0" applyFill="1" applyBorder="1"/>
    <xf numFmtId="44" fontId="0" fillId="7" borderId="31" xfId="1" applyFont="1" applyFill="1" applyBorder="1"/>
    <xf numFmtId="0" fontId="0" fillId="7" borderId="56" xfId="0" applyFill="1" applyBorder="1"/>
    <xf numFmtId="0" fontId="0" fillId="7" borderId="50" xfId="0" applyFill="1" applyBorder="1"/>
    <xf numFmtId="44" fontId="0" fillId="7" borderId="31" xfId="0" applyNumberFormat="1" applyFill="1" applyBorder="1"/>
    <xf numFmtId="172" fontId="0" fillId="7" borderId="31" xfId="0" applyNumberFormat="1" applyFill="1" applyBorder="1"/>
    <xf numFmtId="172" fontId="0" fillId="7" borderId="61" xfId="0" applyNumberFormat="1" applyFill="1" applyBorder="1"/>
    <xf numFmtId="172" fontId="0" fillId="7" borderId="57" xfId="0" applyNumberFormat="1" applyFill="1" applyBorder="1"/>
    <xf numFmtId="172" fontId="0" fillId="6" borderId="15" xfId="0" applyNumberFormat="1" applyFill="1" applyBorder="1"/>
    <xf numFmtId="172" fontId="0" fillId="6" borderId="11" xfId="0" applyNumberFormat="1" applyFill="1" applyBorder="1"/>
    <xf numFmtId="173" fontId="0" fillId="7" borderId="55" xfId="0" applyNumberFormat="1" applyFill="1" applyBorder="1"/>
    <xf numFmtId="166" fontId="0" fillId="7" borderId="54" xfId="1" applyNumberFormat="1" applyFont="1" applyFill="1" applyBorder="1"/>
    <xf numFmtId="166" fontId="0" fillId="7" borderId="55" xfId="1" applyNumberFormat="1" applyFont="1" applyFill="1" applyBorder="1"/>
    <xf numFmtId="166" fontId="0" fillId="6" borderId="62" xfId="1" applyNumberFormat="1" applyFont="1" applyFill="1" applyBorder="1"/>
    <xf numFmtId="166" fontId="0" fillId="6" borderId="63" xfId="1" applyNumberFormat="1" applyFont="1" applyFill="1" applyBorder="1"/>
    <xf numFmtId="166" fontId="0" fillId="7" borderId="64" xfId="1" applyNumberFormat="1" applyFont="1" applyFill="1" applyBorder="1"/>
    <xf numFmtId="166" fontId="0" fillId="7" borderId="65" xfId="1" applyNumberFormat="1" applyFont="1" applyFill="1" applyBorder="1"/>
    <xf numFmtId="166" fontId="0" fillId="7" borderId="66" xfId="1" applyNumberFormat="1" applyFont="1" applyFill="1" applyBorder="1"/>
    <xf numFmtId="0" fontId="0" fillId="6" borderId="50" xfId="0" applyFill="1" applyBorder="1"/>
    <xf numFmtId="0" fontId="0" fillId="6" borderId="67" xfId="0" applyFill="1" applyBorder="1"/>
    <xf numFmtId="0" fontId="0" fillId="6" borderId="68" xfId="0" applyFill="1" applyBorder="1"/>
    <xf numFmtId="0" fontId="0" fillId="6" borderId="51" xfId="0" applyFill="1" applyBorder="1"/>
    <xf numFmtId="0" fontId="0" fillId="7" borderId="69" xfId="0" applyFill="1" applyBorder="1"/>
    <xf numFmtId="0" fontId="0" fillId="7" borderId="64" xfId="0" applyFill="1" applyBorder="1"/>
    <xf numFmtId="0" fontId="0" fillId="7" borderId="66" xfId="0" applyFill="1" applyBorder="1"/>
    <xf numFmtId="0" fontId="0" fillId="7" borderId="70" xfId="0" applyFill="1" applyBorder="1"/>
    <xf numFmtId="0" fontId="0" fillId="7" borderId="71" xfId="0" applyFill="1" applyBorder="1"/>
    <xf numFmtId="172" fontId="0" fillId="7" borderId="71" xfId="0" applyNumberFormat="1" applyFill="1" applyBorder="1"/>
    <xf numFmtId="0" fontId="0" fillId="8" borderId="44" xfId="0" applyFill="1" applyBorder="1" applyAlignment="1">
      <alignment horizontal="center"/>
    </xf>
    <xf numFmtId="0" fontId="0" fillId="8" borderId="45" xfId="0" applyFill="1" applyBorder="1" applyAlignment="1">
      <alignment horizontal="center"/>
    </xf>
    <xf numFmtId="0" fontId="0" fillId="8" borderId="46" xfId="0" applyFill="1" applyBorder="1" applyAlignment="1">
      <alignment horizontal="center"/>
    </xf>
    <xf numFmtId="0" fontId="0" fillId="8" borderId="47" xfId="0" applyFill="1" applyBorder="1" applyAlignment="1">
      <alignment horizontal="center"/>
    </xf>
    <xf numFmtId="0" fontId="0" fillId="8" borderId="48" xfId="0" applyFill="1" applyBorder="1" applyAlignment="1">
      <alignment horizontal="center"/>
    </xf>
    <xf numFmtId="0" fontId="0" fillId="8" borderId="49" xfId="0" applyFill="1" applyBorder="1"/>
    <xf numFmtId="0" fontId="0" fillId="8" borderId="56" xfId="0" applyFill="1" applyBorder="1"/>
    <xf numFmtId="0" fontId="0" fillId="8" borderId="50" xfId="0" applyFill="1" applyBorder="1"/>
    <xf numFmtId="0" fontId="0" fillId="8" borderId="45" xfId="0" applyFill="1" applyBorder="1"/>
    <xf numFmtId="0" fontId="0" fillId="8" borderId="33" xfId="0" applyFill="1" applyBorder="1"/>
    <xf numFmtId="0" fontId="0" fillId="8" borderId="51" xfId="0" applyFill="1" applyBorder="1" applyAlignment="1">
      <alignment horizontal="center"/>
    </xf>
    <xf numFmtId="0" fontId="0" fillId="8" borderId="52" xfId="0" applyFill="1" applyBorder="1" applyAlignment="1">
      <alignment horizontal="center"/>
    </xf>
    <xf numFmtId="0" fontId="0" fillId="3" borderId="2" xfId="0" applyFill="1" applyBorder="1" applyAlignment="1">
      <alignment vertical="center" wrapText="1"/>
    </xf>
    <xf numFmtId="166" fontId="11" fillId="0" borderId="16" xfId="1" applyNumberFormat="1" applyFont="1" applyFill="1" applyBorder="1" applyAlignment="1" applyProtection="1">
      <alignment horizontal="right" vertical="center"/>
      <protection locked="0"/>
    </xf>
    <xf numFmtId="164" fontId="0" fillId="3" borderId="0" xfId="0" applyNumberFormat="1" applyFill="1" applyAlignment="1">
      <alignment horizontal="right" vertical="center"/>
    </xf>
    <xf numFmtId="0" fontId="0" fillId="5" borderId="0" xfId="0" applyFill="1" applyAlignment="1">
      <alignment horizontal="left" vertical="top" wrapText="1"/>
    </xf>
    <xf numFmtId="44" fontId="0" fillId="0" borderId="0" xfId="1" applyFont="1"/>
    <xf numFmtId="0" fontId="21" fillId="0" borderId="0" xfId="0" applyFont="1"/>
    <xf numFmtId="0" fontId="5" fillId="5" borderId="2" xfId="0" applyFont="1" applyFill="1" applyBorder="1"/>
    <xf numFmtId="44" fontId="0" fillId="5" borderId="16" xfId="0" applyNumberFormat="1" applyFill="1" applyBorder="1" applyAlignment="1">
      <alignment vertical="center"/>
    </xf>
    <xf numFmtId="44" fontId="0" fillId="3" borderId="18" xfId="0" applyNumberFormat="1" applyFill="1" applyBorder="1" applyAlignment="1">
      <alignment vertical="center"/>
    </xf>
    <xf numFmtId="0" fontId="0" fillId="5" borderId="18" xfId="0" applyFill="1" applyBorder="1" applyAlignment="1">
      <alignment horizontal="left" vertical="center" wrapText="1"/>
    </xf>
    <xf numFmtId="0" fontId="0" fillId="5" borderId="19" xfId="0" applyFill="1" applyBorder="1" applyAlignment="1">
      <alignment horizontal="left" vertical="center" wrapText="1"/>
    </xf>
    <xf numFmtId="0" fontId="3" fillId="3" borderId="0" xfId="0" applyFont="1" applyFill="1" applyAlignment="1">
      <alignment horizontal="center" vertical="center"/>
    </xf>
    <xf numFmtId="0" fontId="0" fillId="5" borderId="0" xfId="0" applyFill="1" applyAlignment="1">
      <alignment horizontal="center" vertical="center"/>
    </xf>
    <xf numFmtId="0" fontId="3" fillId="5" borderId="0" xfId="0" applyFont="1" applyFill="1" applyAlignment="1">
      <alignment horizontal="center" vertical="center"/>
    </xf>
    <xf numFmtId="0" fontId="11" fillId="5" borderId="0" xfId="0" applyFont="1" applyFill="1" applyAlignment="1">
      <alignment horizontal="center" vertical="center"/>
    </xf>
    <xf numFmtId="0" fontId="0" fillId="3" borderId="0" xfId="0" applyFill="1" applyAlignment="1">
      <alignment horizontal="center" vertical="center"/>
    </xf>
    <xf numFmtId="0" fontId="0" fillId="5" borderId="16" xfId="0" applyFill="1" applyBorder="1" applyAlignment="1">
      <alignment horizontal="left" vertical="center" wrapText="1"/>
    </xf>
    <xf numFmtId="166" fontId="11" fillId="5" borderId="16" xfId="1" applyNumberFormat="1" applyFont="1" applyFill="1" applyBorder="1" applyAlignment="1" applyProtection="1">
      <alignment horizontal="left" vertical="center"/>
    </xf>
    <xf numFmtId="166" fontId="11" fillId="2" borderId="16" xfId="1" applyNumberFormat="1" applyFont="1" applyFill="1" applyBorder="1" applyAlignment="1" applyProtection="1">
      <alignment horizontal="left" vertical="center"/>
      <protection locked="0"/>
    </xf>
    <xf numFmtId="164" fontId="0" fillId="5" borderId="16" xfId="0" applyNumberFormat="1" applyFill="1" applyBorder="1" applyAlignment="1">
      <alignment horizontal="center" vertical="center"/>
    </xf>
    <xf numFmtId="166" fontId="0" fillId="2" borderId="16" xfId="0" applyNumberFormat="1" applyFill="1" applyBorder="1" applyAlignment="1" applyProtection="1">
      <alignment horizontal="center" vertical="center"/>
      <protection locked="0"/>
    </xf>
    <xf numFmtId="0" fontId="0" fillId="3" borderId="0" xfId="0" applyFill="1" applyAlignment="1">
      <alignment horizontal="center"/>
    </xf>
    <xf numFmtId="0" fontId="17" fillId="5" borderId="0" xfId="0" applyFont="1" applyFill="1" applyAlignment="1">
      <alignment vertical="top"/>
    </xf>
    <xf numFmtId="0" fontId="0" fillId="3" borderId="2" xfId="0" applyFill="1" applyBorder="1" applyAlignment="1">
      <alignment horizontal="center" vertical="center"/>
    </xf>
    <xf numFmtId="44" fontId="0" fillId="3" borderId="0" xfId="0" applyNumberFormat="1" applyFill="1" applyAlignment="1">
      <alignment horizontal="center" vertical="center"/>
    </xf>
    <xf numFmtId="0" fontId="22" fillId="0" borderId="0" xfId="0" applyFont="1"/>
    <xf numFmtId="0" fontId="18" fillId="5" borderId="0" xfId="0" applyFont="1" applyFill="1" applyAlignment="1">
      <alignment vertical="top"/>
    </xf>
    <xf numFmtId="0" fontId="0" fillId="5" borderId="0" xfId="0" applyFill="1" applyAlignment="1">
      <alignment horizontal="right"/>
    </xf>
    <xf numFmtId="0" fontId="0" fillId="5" borderId="0" xfId="0" applyFill="1" applyAlignment="1">
      <alignment horizontal="left" vertical="center"/>
    </xf>
    <xf numFmtId="0" fontId="12" fillId="5" borderId="0" xfId="0" applyFont="1" applyFill="1" applyAlignment="1">
      <alignment horizontal="left" vertical="top"/>
    </xf>
    <xf numFmtId="44" fontId="14" fillId="5" borderId="16" xfId="0" applyNumberFormat="1" applyFont="1" applyFill="1" applyBorder="1" applyAlignment="1">
      <alignment vertical="center"/>
    </xf>
    <xf numFmtId="44" fontId="14" fillId="3" borderId="16" xfId="0" applyNumberFormat="1" applyFont="1" applyFill="1" applyBorder="1" applyAlignment="1">
      <alignment horizontal="right" vertical="center"/>
    </xf>
    <xf numFmtId="164" fontId="14" fillId="5" borderId="16" xfId="0" applyNumberFormat="1" applyFont="1" applyFill="1" applyBorder="1" applyAlignment="1">
      <alignment horizontal="right" vertical="center"/>
    </xf>
    <xf numFmtId="44" fontId="14" fillId="5" borderId="16" xfId="0" applyNumberFormat="1" applyFont="1" applyFill="1" applyBorder="1" applyAlignment="1">
      <alignment horizontal="right" vertical="center"/>
    </xf>
    <xf numFmtId="164" fontId="14" fillId="3" borderId="16" xfId="0" applyNumberFormat="1" applyFont="1" applyFill="1" applyBorder="1" applyAlignment="1">
      <alignment horizontal="right" vertical="center"/>
    </xf>
    <xf numFmtId="44" fontId="14" fillId="3" borderId="14" xfId="0" applyNumberFormat="1" applyFont="1" applyFill="1" applyBorder="1" applyAlignment="1">
      <alignment horizontal="right" vertical="center"/>
    </xf>
    <xf numFmtId="166" fontId="14" fillId="5" borderId="16" xfId="0" applyNumberFormat="1" applyFont="1" applyFill="1" applyBorder="1" applyAlignment="1">
      <alignment horizontal="right" vertical="center"/>
    </xf>
    <xf numFmtId="165" fontId="14" fillId="5" borderId="16" xfId="0" applyNumberFormat="1" applyFont="1" applyFill="1" applyBorder="1" applyAlignment="1">
      <alignment vertical="center"/>
    </xf>
    <xf numFmtId="169" fontId="14" fillId="5" borderId="16" xfId="0" applyNumberFormat="1" applyFont="1" applyFill="1" applyBorder="1" applyAlignment="1">
      <alignment vertical="center"/>
    </xf>
    <xf numFmtId="0" fontId="14" fillId="0" borderId="16" xfId="0" applyFont="1" applyBorder="1" applyAlignment="1" applyProtection="1">
      <alignment horizontal="center" vertical="center"/>
      <protection locked="0"/>
    </xf>
    <xf numFmtId="44" fontId="14" fillId="2" borderId="16" xfId="1" applyFont="1" applyFill="1" applyBorder="1" applyAlignment="1" applyProtection="1">
      <alignment horizontal="right" vertical="center"/>
      <protection locked="0"/>
    </xf>
    <xf numFmtId="44" fontId="11" fillId="3" borderId="16" xfId="0" applyNumberFormat="1" applyFont="1" applyFill="1" applyBorder="1" applyAlignment="1">
      <alignment horizontal="right" vertical="center"/>
    </xf>
    <xf numFmtId="0" fontId="14" fillId="5" borderId="19" xfId="0" applyFont="1" applyFill="1" applyBorder="1" applyAlignment="1">
      <alignment vertical="center"/>
    </xf>
    <xf numFmtId="0" fontId="0" fillId="8" borderId="1" xfId="0" applyFill="1" applyBorder="1"/>
    <xf numFmtId="0" fontId="0" fillId="8" borderId="2" xfId="0" applyFill="1" applyBorder="1"/>
    <xf numFmtId="0" fontId="0" fillId="8" borderId="3" xfId="0" applyFill="1" applyBorder="1"/>
    <xf numFmtId="0" fontId="0" fillId="8" borderId="4" xfId="0" applyFill="1" applyBorder="1" applyAlignment="1">
      <alignment horizontal="center"/>
    </xf>
    <xf numFmtId="0" fontId="0" fillId="8" borderId="0" xfId="0" applyFill="1" applyAlignment="1">
      <alignment horizontal="center"/>
    </xf>
    <xf numFmtId="0" fontId="0" fillId="8" borderId="5" xfId="0" applyFill="1" applyBorder="1"/>
    <xf numFmtId="44" fontId="0" fillId="7" borderId="49" xfId="1" applyFont="1" applyFill="1" applyBorder="1"/>
    <xf numFmtId="44" fontId="0" fillId="7" borderId="56" xfId="1" applyFont="1" applyFill="1" applyBorder="1"/>
    <xf numFmtId="44" fontId="0" fillId="7" borderId="50" xfId="1" applyFont="1" applyFill="1" applyBorder="1"/>
    <xf numFmtId="0" fontId="0" fillId="8" borderId="8" xfId="0" applyFill="1" applyBorder="1"/>
    <xf numFmtId="0" fontId="0" fillId="8" borderId="4" xfId="0" applyFill="1" applyBorder="1"/>
    <xf numFmtId="0" fontId="0" fillId="8" borderId="0" xfId="0" applyFill="1"/>
    <xf numFmtId="0" fontId="0" fillId="7" borderId="49" xfId="0" applyFill="1" applyBorder="1"/>
    <xf numFmtId="0" fontId="0" fillId="7" borderId="54" xfId="0" applyFill="1" applyBorder="1"/>
    <xf numFmtId="0" fontId="0" fillId="7" borderId="36" xfId="0" applyFill="1" applyBorder="1"/>
    <xf numFmtId="0" fontId="0" fillId="7" borderId="11" xfId="0" applyFill="1" applyBorder="1"/>
    <xf numFmtId="0" fontId="0" fillId="7" borderId="37" xfId="0" applyFill="1" applyBorder="1"/>
    <xf numFmtId="0" fontId="0" fillId="7" borderId="38" xfId="0" applyFill="1" applyBorder="1"/>
    <xf numFmtId="0" fontId="0" fillId="7" borderId="39" xfId="0" applyFill="1" applyBorder="1"/>
    <xf numFmtId="0" fontId="0" fillId="7" borderId="40" xfId="0" applyFill="1" applyBorder="1"/>
    <xf numFmtId="44" fontId="0" fillId="7" borderId="59" xfId="1" applyFont="1" applyFill="1" applyBorder="1"/>
    <xf numFmtId="166" fontId="0" fillId="8" borderId="49" xfId="1" applyNumberFormat="1" applyFont="1" applyFill="1" applyBorder="1"/>
    <xf numFmtId="166" fontId="0" fillId="8" borderId="50" xfId="1" applyNumberFormat="1" applyFont="1" applyFill="1" applyBorder="1"/>
    <xf numFmtId="166" fontId="0" fillId="6" borderId="36" xfId="1" applyNumberFormat="1" applyFont="1" applyFill="1" applyBorder="1"/>
    <xf numFmtId="166" fontId="0" fillId="6" borderId="37" xfId="1" applyNumberFormat="1" applyFont="1" applyFill="1" applyBorder="1"/>
    <xf numFmtId="0" fontId="0" fillId="7" borderId="57" xfId="0" applyFill="1" applyBorder="1"/>
    <xf numFmtId="0" fontId="0" fillId="7" borderId="15" xfId="0" applyFill="1" applyBorder="1"/>
    <xf numFmtId="0" fontId="0" fillId="7" borderId="58" xfId="0" applyFill="1" applyBorder="1"/>
    <xf numFmtId="166" fontId="0" fillId="7" borderId="36" xfId="1" applyNumberFormat="1" applyFont="1" applyFill="1" applyBorder="1"/>
    <xf numFmtId="166" fontId="0" fillId="7" borderId="37" xfId="1" applyNumberFormat="1" applyFont="1" applyFill="1" applyBorder="1"/>
    <xf numFmtId="166" fontId="0" fillId="7" borderId="38" xfId="1" applyNumberFormat="1" applyFont="1" applyFill="1" applyBorder="1"/>
    <xf numFmtId="0" fontId="0" fillId="7" borderId="59" xfId="0" applyFill="1" applyBorder="1" applyAlignment="1">
      <alignment horizontal="center"/>
    </xf>
    <xf numFmtId="0" fontId="0" fillId="7" borderId="70" xfId="0" applyFill="1" applyBorder="1" applyAlignment="1">
      <alignment horizontal="center"/>
    </xf>
    <xf numFmtId="0" fontId="0" fillId="7" borderId="71" xfId="0" applyFill="1" applyBorder="1" applyAlignment="1">
      <alignment horizontal="center"/>
    </xf>
    <xf numFmtId="0" fontId="0" fillId="8" borderId="36" xfId="0" applyFill="1" applyBorder="1"/>
    <xf numFmtId="0" fontId="0" fillId="8" borderId="37" xfId="0" applyFill="1" applyBorder="1"/>
    <xf numFmtId="0" fontId="0" fillId="8" borderId="38" xfId="0" applyFill="1" applyBorder="1"/>
    <xf numFmtId="0" fontId="0" fillId="8" borderId="40" xfId="0" applyFill="1" applyBorder="1"/>
    <xf numFmtId="44" fontId="14" fillId="3" borderId="16" xfId="0" applyNumberFormat="1" applyFont="1" applyFill="1" applyBorder="1" applyAlignment="1">
      <alignment vertical="center"/>
    </xf>
    <xf numFmtId="44" fontId="11" fillId="3" borderId="16" xfId="0" applyNumberFormat="1" applyFont="1" applyFill="1" applyBorder="1" applyAlignment="1">
      <alignment horizontal="center" vertical="center"/>
    </xf>
    <xf numFmtId="44" fontId="14" fillId="2" borderId="16" xfId="1" applyFont="1" applyFill="1" applyBorder="1" applyAlignment="1" applyProtection="1">
      <alignment horizontal="center" vertical="center"/>
      <protection locked="0"/>
    </xf>
    <xf numFmtId="44" fontId="14" fillId="3" borderId="16" xfId="0" applyNumberFormat="1" applyFont="1" applyFill="1" applyBorder="1" applyAlignment="1">
      <alignment horizontal="center" vertical="center"/>
    </xf>
    <xf numFmtId="164" fontId="14" fillId="5" borderId="16" xfId="0" applyNumberFormat="1" applyFont="1" applyFill="1" applyBorder="1" applyAlignment="1">
      <alignment vertical="center"/>
    </xf>
    <xf numFmtId="37" fontId="14" fillId="2" borderId="16" xfId="1" applyNumberFormat="1" applyFont="1" applyFill="1" applyBorder="1" applyAlignment="1" applyProtection="1">
      <alignment horizontal="center" vertical="center"/>
      <protection locked="0"/>
    </xf>
    <xf numFmtId="0" fontId="14" fillId="2" borderId="17" xfId="0" applyFont="1" applyFill="1" applyBorder="1" applyAlignment="1" applyProtection="1">
      <alignment horizontal="center" vertical="center"/>
      <protection locked="0"/>
    </xf>
    <xf numFmtId="0" fontId="14" fillId="5" borderId="19" xfId="0" applyFont="1" applyFill="1" applyBorder="1" applyAlignment="1">
      <alignment horizontal="center" vertical="center"/>
    </xf>
    <xf numFmtId="166" fontId="14" fillId="5" borderId="16" xfId="0" applyNumberFormat="1" applyFont="1" applyFill="1" applyBorder="1" applyAlignment="1">
      <alignment vertical="center"/>
    </xf>
    <xf numFmtId="164" fontId="14" fillId="3" borderId="16" xfId="0" applyNumberFormat="1" applyFont="1" applyFill="1" applyBorder="1" applyAlignment="1">
      <alignment vertical="center"/>
    </xf>
    <xf numFmtId="44" fontId="0" fillId="9" borderId="43" xfId="1" applyFont="1" applyFill="1" applyBorder="1"/>
    <xf numFmtId="44" fontId="0" fillId="9" borderId="11" xfId="1" applyFont="1" applyFill="1" applyBorder="1"/>
    <xf numFmtId="44" fontId="0" fillId="9" borderId="37" xfId="1" applyFont="1" applyFill="1" applyBorder="1"/>
    <xf numFmtId="44" fontId="0" fillId="9" borderId="39" xfId="1" applyFont="1" applyFill="1" applyBorder="1"/>
    <xf numFmtId="44" fontId="0" fillId="9" borderId="40" xfId="1" applyFont="1" applyFill="1" applyBorder="1"/>
    <xf numFmtId="0" fontId="0" fillId="9" borderId="11" xfId="0" applyFill="1" applyBorder="1"/>
    <xf numFmtId="0" fontId="0" fillId="6" borderId="11" xfId="0" applyFill="1" applyBorder="1"/>
    <xf numFmtId="0" fontId="0" fillId="8" borderId="11" xfId="0" applyFill="1" applyBorder="1"/>
    <xf numFmtId="171" fontId="0" fillId="0" borderId="0" xfId="0" applyNumberFormat="1"/>
    <xf numFmtId="0" fontId="11" fillId="5" borderId="19" xfId="0" applyFont="1" applyFill="1" applyBorder="1" applyAlignment="1">
      <alignment horizontal="left" vertical="center"/>
    </xf>
    <xf numFmtId="0" fontId="18" fillId="5" borderId="0" xfId="0" applyFont="1" applyFill="1" applyAlignment="1">
      <alignment vertical="top" wrapText="1"/>
    </xf>
    <xf numFmtId="166" fontId="11" fillId="2" borderId="16" xfId="1" applyNumberFormat="1" applyFont="1" applyFill="1" applyBorder="1" applyAlignment="1" applyProtection="1">
      <alignment horizontal="right" vertical="center"/>
      <protection locked="0"/>
    </xf>
    <xf numFmtId="0" fontId="2" fillId="5" borderId="0" xfId="0" applyFont="1" applyFill="1" applyAlignment="1">
      <alignment vertical="center"/>
    </xf>
    <xf numFmtId="0" fontId="2" fillId="5" borderId="0" xfId="0" applyFont="1" applyFill="1"/>
    <xf numFmtId="0" fontId="11" fillId="5" borderId="18" xfId="0" applyFont="1" applyFill="1" applyBorder="1" applyAlignment="1">
      <alignment vertical="center"/>
    </xf>
    <xf numFmtId="0" fontId="11" fillId="5" borderId="0" xfId="0" applyFont="1" applyFill="1" applyAlignment="1">
      <alignment horizontal="right" vertical="center"/>
    </xf>
    <xf numFmtId="0" fontId="0" fillId="5" borderId="19" xfId="0" applyFill="1" applyBorder="1"/>
    <xf numFmtId="0" fontId="4" fillId="5" borderId="0" xfId="0" applyFont="1" applyFill="1" applyAlignment="1">
      <alignment horizontal="center" vertical="center" wrapText="1"/>
    </xf>
    <xf numFmtId="0" fontId="3" fillId="5" borderId="0" xfId="0" applyFont="1" applyFill="1" applyAlignment="1" applyProtection="1">
      <alignment horizontal="center" vertical="center"/>
      <protection locked="0"/>
    </xf>
    <xf numFmtId="0" fontId="11" fillId="5" borderId="0" xfId="0" applyFont="1" applyFill="1" applyAlignment="1">
      <alignment vertical="top" wrapText="1"/>
    </xf>
    <xf numFmtId="0" fontId="11" fillId="5" borderId="0" xfId="0" applyFont="1" applyFill="1" applyAlignment="1">
      <alignment horizontal="center" vertical="center" wrapText="1"/>
    </xf>
    <xf numFmtId="0" fontId="11" fillId="5" borderId="0" xfId="0" applyFont="1" applyFill="1" applyAlignment="1">
      <alignment horizontal="left" vertical="top" wrapText="1"/>
    </xf>
    <xf numFmtId="0" fontId="11" fillId="5" borderId="0" xfId="0" applyFont="1" applyFill="1" applyAlignment="1">
      <alignment vertical="top"/>
    </xf>
    <xf numFmtId="44" fontId="0" fillId="7" borderId="61" xfId="1" applyFont="1" applyFill="1" applyBorder="1"/>
    <xf numFmtId="0" fontId="0" fillId="7" borderId="31" xfId="0" applyFill="1" applyBorder="1" applyAlignment="1">
      <alignment horizontal="center"/>
    </xf>
    <xf numFmtId="0" fontId="0" fillId="10" borderId="4" xfId="0" applyFill="1" applyBorder="1"/>
    <xf numFmtId="0" fontId="0" fillId="10" borderId="0" xfId="0" applyFill="1"/>
    <xf numFmtId="0" fontId="0" fillId="10" borderId="0" xfId="0" applyFill="1" applyAlignment="1">
      <alignment vertical="top" wrapText="1"/>
    </xf>
    <xf numFmtId="164" fontId="0" fillId="10" borderId="0" xfId="0" applyNumberFormat="1" applyFill="1"/>
    <xf numFmtId="0" fontId="0" fillId="10" borderId="0" xfId="0" applyFill="1" applyAlignment="1">
      <alignment vertical="center"/>
    </xf>
    <xf numFmtId="0" fontId="23" fillId="0" borderId="17" xfId="0" applyFont="1" applyBorder="1" applyAlignment="1" applyProtection="1">
      <alignment horizontal="center" vertical="center"/>
      <protection locked="0"/>
    </xf>
    <xf numFmtId="0" fontId="11" fillId="5" borderId="0" xfId="0" applyFont="1" applyFill="1"/>
    <xf numFmtId="0" fontId="14" fillId="10" borderId="19" xfId="0" applyFont="1" applyFill="1" applyBorder="1" applyAlignment="1">
      <alignment vertical="center"/>
    </xf>
    <xf numFmtId="0" fontId="4" fillId="0" borderId="0" xfId="0" applyFont="1" applyAlignment="1">
      <alignment vertical="center"/>
    </xf>
    <xf numFmtId="8" fontId="0" fillId="0" borderId="0" xfId="0" applyNumberFormat="1"/>
    <xf numFmtId="0" fontId="5" fillId="0" borderId="0" xfId="0" applyFont="1"/>
    <xf numFmtId="0" fontId="1" fillId="0" borderId="0" xfId="0" applyFont="1"/>
    <xf numFmtId="0" fontId="0" fillId="11" borderId="74" xfId="0" applyFill="1" applyBorder="1"/>
    <xf numFmtId="167" fontId="0" fillId="7" borderId="75" xfId="1" applyNumberFormat="1" applyFont="1" applyFill="1" applyBorder="1"/>
    <xf numFmtId="0" fontId="0" fillId="11" borderId="76" xfId="0" applyFill="1" applyBorder="1"/>
    <xf numFmtId="167" fontId="0" fillId="7" borderId="77" xfId="1" applyNumberFormat="1" applyFont="1" applyFill="1" applyBorder="1"/>
    <xf numFmtId="0" fontId="1" fillId="11" borderId="78" xfId="0" applyFont="1" applyFill="1" applyBorder="1"/>
    <xf numFmtId="167" fontId="0" fillId="7" borderId="79" xfId="1" applyNumberFormat="1" applyFont="1" applyFill="1" applyBorder="1"/>
    <xf numFmtId="0" fontId="2" fillId="11" borderId="80" xfId="0" applyFont="1" applyFill="1" applyBorder="1"/>
    <xf numFmtId="0" fontId="2" fillId="11" borderId="81" xfId="0" applyFont="1" applyFill="1" applyBorder="1"/>
    <xf numFmtId="170" fontId="0" fillId="0" borderId="0" xfId="0" applyNumberFormat="1"/>
    <xf numFmtId="44" fontId="0" fillId="9" borderId="38" xfId="1" applyFont="1" applyFill="1" applyBorder="1"/>
    <xf numFmtId="44" fontId="0" fillId="9" borderId="36" xfId="1" applyFont="1" applyFill="1" applyBorder="1"/>
    <xf numFmtId="172" fontId="0" fillId="0" borderId="0" xfId="0" applyNumberFormat="1"/>
    <xf numFmtId="0" fontId="15" fillId="5" borderId="0" xfId="0" applyFont="1" applyFill="1" applyAlignment="1">
      <alignment horizontal="right"/>
    </xf>
    <xf numFmtId="0" fontId="0" fillId="12" borderId="0" xfId="0" applyFill="1"/>
    <xf numFmtId="170" fontId="0" fillId="12" borderId="54" xfId="0" applyNumberFormat="1" applyFill="1" applyBorder="1"/>
    <xf numFmtId="0" fontId="13" fillId="5" borderId="0" xfId="0" applyFont="1" applyFill="1" applyAlignment="1">
      <alignment vertical="center" wrapText="1"/>
    </xf>
    <xf numFmtId="0" fontId="15" fillId="10" borderId="0" xfId="0" applyFont="1" applyFill="1" applyAlignment="1">
      <alignment horizontal="right" vertical="top"/>
    </xf>
    <xf numFmtId="0" fontId="15" fillId="5" borderId="0" xfId="0" applyFont="1" applyFill="1" applyAlignment="1">
      <alignment horizontal="right" vertical="top"/>
    </xf>
    <xf numFmtId="0" fontId="15" fillId="3" borderId="0" xfId="0" applyFont="1" applyFill="1" applyAlignment="1">
      <alignment horizontal="right" vertical="top"/>
    </xf>
    <xf numFmtId="164" fontId="15" fillId="5" borderId="0" xfId="0" applyNumberFormat="1" applyFont="1" applyFill="1" applyAlignment="1">
      <alignment horizontal="right" vertical="top"/>
    </xf>
    <xf numFmtId="0" fontId="15" fillId="3" borderId="7" xfId="0" applyFont="1" applyFill="1" applyBorder="1" applyAlignment="1">
      <alignment horizontal="right" vertical="top"/>
    </xf>
    <xf numFmtId="0" fontId="0" fillId="5" borderId="82" xfId="0" applyFill="1" applyBorder="1" applyAlignment="1">
      <alignment horizontal="left"/>
    </xf>
    <xf numFmtId="0" fontId="0" fillId="5" borderId="82" xfId="0" applyFill="1" applyBorder="1"/>
    <xf numFmtId="170" fontId="0" fillId="13" borderId="54" xfId="0" applyNumberFormat="1" applyFill="1" applyBorder="1"/>
    <xf numFmtId="170" fontId="0" fillId="13" borderId="55" xfId="0" applyNumberFormat="1" applyFill="1" applyBorder="1"/>
    <xf numFmtId="173" fontId="0" fillId="7" borderId="54" xfId="0" applyNumberFormat="1" applyFill="1" applyBorder="1"/>
    <xf numFmtId="170" fontId="0" fillId="12" borderId="0" xfId="0" applyNumberFormat="1" applyFill="1"/>
    <xf numFmtId="170" fontId="0" fillId="13" borderId="84" xfId="0" applyNumberFormat="1" applyFill="1" applyBorder="1"/>
    <xf numFmtId="170" fontId="0" fillId="12" borderId="84" xfId="0" applyNumberFormat="1" applyFill="1" applyBorder="1"/>
    <xf numFmtId="0" fontId="0" fillId="12" borderId="83" xfId="0" applyFill="1" applyBorder="1"/>
    <xf numFmtId="174" fontId="0" fillId="0" borderId="0" xfId="0" applyNumberFormat="1"/>
    <xf numFmtId="0" fontId="0" fillId="0" borderId="68" xfId="0" applyBorder="1"/>
    <xf numFmtId="9" fontId="0" fillId="6" borderId="31" xfId="0" applyNumberFormat="1" applyFill="1" applyBorder="1" applyAlignment="1">
      <alignment horizontal="left"/>
    </xf>
    <xf numFmtId="44" fontId="0" fillId="9" borderId="42" xfId="1" applyFont="1" applyFill="1" applyBorder="1"/>
    <xf numFmtId="0" fontId="11" fillId="5" borderId="82" xfId="0" applyFont="1" applyFill="1" applyBorder="1" applyAlignment="1">
      <alignment horizontal="left" vertical="center"/>
    </xf>
    <xf numFmtId="44" fontId="0" fillId="14" borderId="41" xfId="1" applyFont="1" applyFill="1" applyBorder="1"/>
    <xf numFmtId="44" fontId="0" fillId="14" borderId="36" xfId="1" applyFont="1" applyFill="1" applyBorder="1"/>
    <xf numFmtId="172" fontId="0" fillId="14" borderId="31" xfId="0" applyNumberFormat="1" applyFill="1" applyBorder="1"/>
    <xf numFmtId="170" fontId="0" fillId="12" borderId="85" xfId="0" applyNumberFormat="1" applyFill="1" applyBorder="1"/>
    <xf numFmtId="0" fontId="0" fillId="8" borderId="89" xfId="0" applyFill="1" applyBorder="1"/>
    <xf numFmtId="0" fontId="0" fillId="8" borderId="90" xfId="0" applyFill="1" applyBorder="1"/>
    <xf numFmtId="172" fontId="0" fillId="6" borderId="91" xfId="0" applyNumberFormat="1" applyFill="1" applyBorder="1"/>
    <xf numFmtId="172" fontId="0" fillId="6" borderId="92" xfId="0" applyNumberFormat="1" applyFill="1" applyBorder="1"/>
    <xf numFmtId="172" fontId="0" fillId="6" borderId="93" xfId="0" applyNumberFormat="1" applyFill="1" applyBorder="1"/>
    <xf numFmtId="172" fontId="0" fillId="6" borderId="94" xfId="0" applyNumberFormat="1" applyFill="1" applyBorder="1"/>
    <xf numFmtId="172" fontId="0" fillId="6" borderId="95" xfId="0" applyNumberFormat="1" applyFill="1" applyBorder="1"/>
    <xf numFmtId="172" fontId="0" fillId="6" borderId="96" xfId="0" applyNumberFormat="1" applyFill="1" applyBorder="1"/>
    <xf numFmtId="172" fontId="0" fillId="6" borderId="97" xfId="0" applyNumberFormat="1" applyFill="1" applyBorder="1"/>
    <xf numFmtId="0" fontId="25" fillId="0" borderId="0" xfId="0" applyFont="1" applyAlignment="1">
      <alignment horizontal="right"/>
    </xf>
    <xf numFmtId="0" fontId="25" fillId="0" borderId="0" xfId="0" applyFont="1"/>
    <xf numFmtId="0" fontId="0" fillId="12" borderId="7" xfId="0" applyFill="1" applyBorder="1"/>
    <xf numFmtId="0" fontId="0" fillId="0" borderId="98" xfId="0" applyBorder="1" applyAlignment="1">
      <alignment horizontal="right"/>
    </xf>
    <xf numFmtId="172" fontId="0" fillId="14" borderId="99" xfId="0" applyNumberFormat="1" applyFill="1" applyBorder="1"/>
    <xf numFmtId="0" fontId="0" fillId="0" borderId="100" xfId="0" applyBorder="1" applyAlignment="1">
      <alignment horizontal="right"/>
    </xf>
    <xf numFmtId="172" fontId="0" fillId="14" borderId="101" xfId="0" applyNumberFormat="1" applyFill="1" applyBorder="1"/>
    <xf numFmtId="0" fontId="0" fillId="0" borderId="102" xfId="0" applyBorder="1" applyAlignment="1">
      <alignment horizontal="right"/>
    </xf>
    <xf numFmtId="172" fontId="0" fillId="14" borderId="103" xfId="0" applyNumberFormat="1" applyFill="1" applyBorder="1"/>
    <xf numFmtId="0" fontId="24" fillId="0" borderId="1" xfId="0" applyFont="1" applyBorder="1"/>
    <xf numFmtId="0" fontId="26" fillId="3" borderId="0" xfId="0" applyFont="1" applyFill="1"/>
    <xf numFmtId="0" fontId="26" fillId="5" borderId="13" xfId="0" applyFont="1" applyFill="1" applyBorder="1"/>
    <xf numFmtId="0" fontId="13" fillId="3" borderId="0" xfId="0" applyFont="1" applyFill="1" applyAlignment="1">
      <alignment horizontal="left" vertical="top"/>
    </xf>
    <xf numFmtId="44" fontId="0" fillId="14" borderId="41" xfId="0" applyNumberFormat="1" applyFill="1" applyBorder="1"/>
    <xf numFmtId="44" fontId="0" fillId="14" borderId="42" xfId="0" applyNumberFormat="1" applyFill="1" applyBorder="1"/>
    <xf numFmtId="44" fontId="0" fillId="14" borderId="43" xfId="0" applyNumberFormat="1" applyFill="1" applyBorder="1"/>
    <xf numFmtId="44" fontId="0" fillId="14" borderId="36" xfId="0" applyNumberFormat="1" applyFill="1" applyBorder="1"/>
    <xf numFmtId="44" fontId="0" fillId="14" borderId="11" xfId="0" applyNumberFormat="1" applyFill="1" applyBorder="1"/>
    <xf numFmtId="44" fontId="0" fillId="14" borderId="37" xfId="0" applyNumberFormat="1" applyFill="1" applyBorder="1"/>
    <xf numFmtId="44" fontId="0" fillId="14" borderId="38" xfId="0" applyNumberFormat="1" applyFill="1" applyBorder="1"/>
    <xf numFmtId="44" fontId="0" fillId="14" borderId="39" xfId="0" applyNumberFormat="1" applyFill="1" applyBorder="1"/>
    <xf numFmtId="44" fontId="0" fillId="14" borderId="40" xfId="0" applyNumberFormat="1" applyFill="1" applyBorder="1"/>
    <xf numFmtId="44" fontId="0" fillId="8" borderId="33" xfId="0" applyNumberFormat="1" applyFill="1" applyBorder="1"/>
    <xf numFmtId="44" fontId="0" fillId="8" borderId="34" xfId="0" applyNumberFormat="1" applyFill="1" applyBorder="1"/>
    <xf numFmtId="44" fontId="0" fillId="8" borderId="35" xfId="0" applyNumberFormat="1" applyFill="1" applyBorder="1"/>
    <xf numFmtId="44" fontId="0" fillId="8" borderId="44" xfId="0" applyNumberFormat="1" applyFill="1" applyBorder="1" applyAlignment="1">
      <alignment horizontal="center"/>
    </xf>
    <xf numFmtId="44" fontId="0" fillId="8" borderId="45" xfId="0" applyNumberFormat="1" applyFill="1" applyBorder="1" applyAlignment="1">
      <alignment horizontal="center"/>
    </xf>
    <xf numFmtId="44" fontId="0" fillId="8" borderId="46" xfId="0" applyNumberFormat="1" applyFill="1" applyBorder="1" applyAlignment="1">
      <alignment horizontal="center"/>
    </xf>
    <xf numFmtId="0" fontId="0" fillId="5" borderId="0" xfId="0" applyFill="1" applyAlignment="1">
      <alignment horizontal="left" vertical="top"/>
    </xf>
    <xf numFmtId="0" fontId="0" fillId="12" borderId="104" xfId="0" applyFill="1" applyBorder="1"/>
    <xf numFmtId="0" fontId="0" fillId="8" borderId="108" xfId="0" applyFill="1" applyBorder="1" applyAlignment="1">
      <alignment horizontal="center"/>
    </xf>
    <xf numFmtId="0" fontId="0" fillId="8" borderId="109" xfId="0" applyFill="1" applyBorder="1" applyAlignment="1">
      <alignment horizontal="center"/>
    </xf>
    <xf numFmtId="172" fontId="0" fillId="7" borderId="110" xfId="0" applyNumberFormat="1" applyFill="1" applyBorder="1"/>
    <xf numFmtId="172" fontId="0" fillId="7" borderId="111" xfId="0" applyNumberFormat="1" applyFill="1" applyBorder="1"/>
    <xf numFmtId="172" fontId="0" fillId="7" borderId="112" xfId="0" applyNumberFormat="1" applyFill="1" applyBorder="1"/>
    <xf numFmtId="172" fontId="0" fillId="7" borderId="113" xfId="0" applyNumberFormat="1" applyFill="1" applyBorder="1"/>
    <xf numFmtId="172" fontId="0" fillId="7" borderId="114" xfId="0" applyNumberFormat="1" applyFill="1" applyBorder="1"/>
    <xf numFmtId="0" fontId="0" fillId="8" borderId="36" xfId="0" applyFill="1" applyBorder="1" applyAlignment="1">
      <alignment horizontal="center"/>
    </xf>
    <xf numFmtId="0" fontId="0" fillId="8" borderId="11" xfId="0" applyFill="1" applyBorder="1" applyAlignment="1">
      <alignment horizontal="center"/>
    </xf>
    <xf numFmtId="0" fontId="0" fillId="8" borderId="37" xfId="0" applyFill="1" applyBorder="1" applyAlignment="1">
      <alignment horizontal="center"/>
    </xf>
    <xf numFmtId="0" fontId="27" fillId="0" borderId="0" xfId="0" applyFont="1"/>
    <xf numFmtId="0" fontId="28" fillId="0" borderId="0" xfId="0" applyFont="1"/>
    <xf numFmtId="0" fontId="2" fillId="11" borderId="16" xfId="0" applyFont="1" applyFill="1" applyBorder="1"/>
    <xf numFmtId="0" fontId="0" fillId="11" borderId="16" xfId="0" applyFill="1" applyBorder="1"/>
    <xf numFmtId="167" fontId="0" fillId="7" borderId="16" xfId="1" applyNumberFormat="1" applyFont="1" applyFill="1" applyBorder="1"/>
    <xf numFmtId="0" fontId="1" fillId="11" borderId="16" xfId="0" applyFont="1" applyFill="1" applyBorder="1"/>
    <xf numFmtId="167" fontId="0" fillId="0" borderId="0" xfId="1" applyNumberFormat="1" applyFont="1" applyFill="1" applyBorder="1"/>
    <xf numFmtId="164" fontId="0" fillId="0" borderId="0" xfId="1" applyNumberFormat="1" applyFont="1" applyFill="1" applyBorder="1"/>
    <xf numFmtId="164" fontId="0" fillId="0" borderId="0" xfId="0" applyNumberFormat="1"/>
    <xf numFmtId="0" fontId="0" fillId="10" borderId="0" xfId="0" applyFill="1" applyAlignment="1">
      <alignment horizontal="center" vertical="center"/>
    </xf>
    <xf numFmtId="0" fontId="11" fillId="2" borderId="17" xfId="0" applyFont="1" applyFill="1" applyBorder="1" applyAlignment="1" applyProtection="1">
      <alignment horizontal="right" vertical="center"/>
      <protection locked="0"/>
    </xf>
    <xf numFmtId="0" fontId="18" fillId="10" borderId="0" xfId="0" applyFont="1" applyFill="1" applyAlignment="1">
      <alignment horizontal="left" vertical="top"/>
    </xf>
    <xf numFmtId="0" fontId="18" fillId="5" borderId="0" xfId="0" applyFont="1" applyFill="1" applyAlignment="1">
      <alignment vertical="center"/>
    </xf>
    <xf numFmtId="0" fontId="11" fillId="2" borderId="17" xfId="0" applyFont="1" applyFill="1" applyBorder="1" applyAlignment="1" applyProtection="1">
      <alignment horizontal="center" vertical="center"/>
      <protection locked="0"/>
    </xf>
    <xf numFmtId="0" fontId="0" fillId="0" borderId="0" xfId="0" applyAlignment="1">
      <alignment horizontal="center"/>
    </xf>
    <xf numFmtId="0" fontId="0" fillId="5" borderId="0" xfId="0" applyFill="1" applyAlignment="1">
      <alignment horizontal="right" vertical="center" wrapText="1"/>
    </xf>
    <xf numFmtId="0" fontId="15" fillId="5" borderId="0" xfId="0" applyFont="1" applyFill="1"/>
    <xf numFmtId="164" fontId="14" fillId="5" borderId="0" xfId="0" applyNumberFormat="1" applyFont="1" applyFill="1" applyAlignment="1">
      <alignment horizontal="right" vertical="center"/>
    </xf>
    <xf numFmtId="0" fontId="18" fillId="5" borderId="0" xfId="0" applyFont="1" applyFill="1" applyAlignment="1">
      <alignment horizontal="left" vertical="center" wrapText="1"/>
    </xf>
    <xf numFmtId="0" fontId="18" fillId="5" borderId="0" xfId="0" applyFont="1" applyFill="1" applyAlignment="1">
      <alignment horizontal="left" vertical="top" wrapText="1"/>
    </xf>
    <xf numFmtId="0" fontId="0" fillId="5" borderId="0" xfId="0" applyFill="1" applyAlignment="1">
      <alignment horizontal="left" wrapText="1"/>
    </xf>
    <xf numFmtId="164" fontId="15" fillId="5" borderId="0" xfId="0" applyNumberFormat="1" applyFont="1" applyFill="1" applyAlignment="1">
      <alignment horizontal="left" wrapText="1"/>
    </xf>
    <xf numFmtId="0" fontId="0" fillId="5" borderId="0" xfId="0" applyFill="1" applyAlignment="1">
      <alignment horizontal="left" vertical="center" wrapText="1"/>
    </xf>
    <xf numFmtId="0" fontId="11" fillId="5" borderId="17" xfId="0" applyFont="1" applyFill="1" applyBorder="1" applyAlignment="1">
      <alignment horizontal="left" vertical="center"/>
    </xf>
    <xf numFmtId="0" fontId="11" fillId="5" borderId="18" xfId="0" applyFont="1" applyFill="1" applyBorder="1" applyAlignment="1">
      <alignment horizontal="left" vertical="center"/>
    </xf>
    <xf numFmtId="0" fontId="11" fillId="5" borderId="19" xfId="0" applyFont="1" applyFill="1" applyBorder="1" applyAlignment="1">
      <alignment horizontal="left" vertical="center"/>
    </xf>
    <xf numFmtId="0" fontId="0" fillId="5" borderId="0" xfId="0" applyFill="1" applyAlignment="1">
      <alignment horizontal="right" wrapText="1"/>
    </xf>
    <xf numFmtId="0" fontId="0" fillId="5" borderId="12" xfId="0" applyFill="1" applyBorder="1" applyAlignment="1">
      <alignment horizontal="right" wrapText="1"/>
    </xf>
    <xf numFmtId="0" fontId="11" fillId="3" borderId="17" xfId="0" applyFont="1" applyFill="1" applyBorder="1" applyAlignment="1">
      <alignment horizontal="left" vertical="center"/>
    </xf>
    <xf numFmtId="0" fontId="11" fillId="3" borderId="19" xfId="0" applyFont="1" applyFill="1" applyBorder="1" applyAlignment="1">
      <alignment horizontal="left" vertical="center"/>
    </xf>
    <xf numFmtId="0" fontId="0" fillId="5" borderId="0" xfId="0" applyFill="1" applyAlignment="1">
      <alignment horizontal="right" vertical="center" wrapText="1"/>
    </xf>
    <xf numFmtId="0" fontId="0" fillId="5" borderId="12" xfId="0" applyFill="1" applyBorder="1" applyAlignment="1">
      <alignment horizontal="right" vertical="center" wrapText="1"/>
    </xf>
    <xf numFmtId="0" fontId="0" fillId="3" borderId="0" xfId="0" applyFill="1" applyAlignment="1">
      <alignment horizontal="center" vertical="center" wrapText="1"/>
    </xf>
    <xf numFmtId="0" fontId="18" fillId="3" borderId="0" xfId="0" applyFont="1" applyFill="1" applyAlignment="1">
      <alignment horizontal="left" vertical="top" wrapText="1"/>
    </xf>
    <xf numFmtId="0" fontId="0" fillId="5" borderId="0" xfId="0" applyFill="1" applyAlignment="1">
      <alignment horizontal="center" vertical="center" wrapText="1"/>
    </xf>
    <xf numFmtId="0" fontId="16" fillId="3" borderId="20" xfId="0" applyFont="1" applyFill="1" applyBorder="1" applyAlignment="1">
      <alignment horizontal="left" vertical="center" wrapText="1"/>
    </xf>
    <xf numFmtId="0" fontId="16" fillId="3" borderId="2" xfId="0" applyFont="1" applyFill="1" applyBorder="1" applyAlignment="1">
      <alignment horizontal="left" vertical="center" wrapText="1"/>
    </xf>
    <xf numFmtId="0" fontId="16" fillId="3" borderId="21" xfId="0" applyFont="1" applyFill="1" applyBorder="1" applyAlignment="1">
      <alignment horizontal="left" vertical="center" wrapText="1"/>
    </xf>
    <xf numFmtId="0" fontId="16" fillId="3" borderId="22" xfId="0" applyFont="1" applyFill="1" applyBorder="1" applyAlignment="1">
      <alignment horizontal="left" vertical="center" wrapText="1"/>
    </xf>
    <xf numFmtId="0" fontId="16" fillId="3" borderId="0" xfId="0" applyFont="1" applyFill="1" applyAlignment="1">
      <alignment horizontal="left" vertical="center" wrapText="1"/>
    </xf>
    <xf numFmtId="0" fontId="16" fillId="3" borderId="23" xfId="0" applyFont="1" applyFill="1" applyBorder="1" applyAlignment="1">
      <alignment horizontal="left" vertical="center" wrapText="1"/>
    </xf>
    <xf numFmtId="0" fontId="16" fillId="3" borderId="24" xfId="0" applyFont="1" applyFill="1" applyBorder="1" applyAlignment="1">
      <alignment horizontal="left" vertical="center" wrapText="1"/>
    </xf>
    <xf numFmtId="0" fontId="16" fillId="3" borderId="25" xfId="0" applyFont="1" applyFill="1" applyBorder="1" applyAlignment="1">
      <alignment horizontal="left" vertical="center" wrapText="1"/>
    </xf>
    <xf numFmtId="0" fontId="16" fillId="3" borderId="26" xfId="0" applyFont="1" applyFill="1" applyBorder="1" applyAlignment="1">
      <alignment horizontal="left" vertical="center" wrapText="1"/>
    </xf>
    <xf numFmtId="0" fontId="13" fillId="5" borderId="0" xfId="0" applyFont="1" applyFill="1" applyAlignment="1">
      <alignment horizontal="left" vertical="center" wrapText="1"/>
    </xf>
    <xf numFmtId="164" fontId="15" fillId="5" borderId="9" xfId="0" applyNumberFormat="1" applyFont="1" applyFill="1" applyBorder="1" applyAlignment="1">
      <alignment horizontal="left" wrapText="1"/>
    </xf>
    <xf numFmtId="0" fontId="26" fillId="3" borderId="0" xfId="0" applyFont="1" applyFill="1" applyAlignment="1">
      <alignment horizontal="left" vertical="top"/>
    </xf>
    <xf numFmtId="0" fontId="14" fillId="3" borderId="17" xfId="0" applyFont="1" applyFill="1" applyBorder="1" applyAlignment="1">
      <alignment horizontal="center" vertical="center"/>
    </xf>
    <xf numFmtId="0" fontId="14" fillId="3" borderId="18" xfId="0" applyFont="1" applyFill="1" applyBorder="1" applyAlignment="1">
      <alignment horizontal="center" vertical="center"/>
    </xf>
    <xf numFmtId="0" fontId="14" fillId="3" borderId="19" xfId="0" applyFont="1" applyFill="1" applyBorder="1" applyAlignment="1">
      <alignment horizontal="center" vertical="center"/>
    </xf>
    <xf numFmtId="0" fontId="11" fillId="3" borderId="18" xfId="0" applyFont="1" applyFill="1" applyBorder="1" applyAlignment="1">
      <alignment horizontal="left" vertical="center"/>
    </xf>
    <xf numFmtId="0" fontId="0" fillId="0" borderId="2" xfId="0" applyBorder="1" applyAlignment="1">
      <alignment horizontal="center"/>
    </xf>
    <xf numFmtId="0" fontId="0" fillId="0" borderId="7" xfId="0" applyBorder="1" applyAlignment="1">
      <alignment horizontal="center"/>
    </xf>
    <xf numFmtId="0" fontId="4" fillId="0" borderId="2" xfId="0" applyFont="1" applyBorder="1" applyAlignment="1">
      <alignment horizontal="center" vertical="center" wrapText="1"/>
    </xf>
    <xf numFmtId="0" fontId="4" fillId="0" borderId="7" xfId="0" applyFont="1" applyBorder="1" applyAlignment="1">
      <alignment horizontal="center" vertical="center" wrapText="1"/>
    </xf>
    <xf numFmtId="0" fontId="11" fillId="5" borderId="72" xfId="0" applyFont="1" applyFill="1" applyBorder="1" applyAlignment="1">
      <alignment horizontal="right" vertical="center" wrapText="1"/>
    </xf>
    <xf numFmtId="0" fontId="11" fillId="5" borderId="0" xfId="0" applyFont="1" applyFill="1" applyAlignment="1">
      <alignment horizontal="right" vertical="center" wrapText="1"/>
    </xf>
    <xf numFmtId="0" fontId="18" fillId="3" borderId="0" xfId="0" applyFont="1" applyFill="1" applyAlignment="1">
      <alignment horizontal="left" vertical="center" wrapText="1"/>
    </xf>
    <xf numFmtId="0" fontId="11" fillId="3" borderId="17" xfId="0" applyFont="1" applyFill="1" applyBorder="1" applyAlignment="1">
      <alignment horizontal="center" vertical="center"/>
    </xf>
    <xf numFmtId="0" fontId="11" fillId="3" borderId="19" xfId="0" applyFont="1" applyFill="1" applyBorder="1" applyAlignment="1">
      <alignment horizontal="center" vertical="center"/>
    </xf>
    <xf numFmtId="0" fontId="18" fillId="5" borderId="0" xfId="0" applyFont="1" applyFill="1" applyAlignment="1">
      <alignment horizontal="center" vertical="center" wrapText="1"/>
    </xf>
    <xf numFmtId="0" fontId="12" fillId="5" borderId="0" xfId="0" applyFont="1" applyFill="1" applyAlignment="1">
      <alignment horizontal="left" vertical="top" wrapText="1"/>
    </xf>
    <xf numFmtId="0" fontId="0" fillId="3" borderId="0" xfId="0" applyFill="1" applyAlignment="1">
      <alignment horizontal="right" vertical="center" wrapText="1"/>
    </xf>
    <xf numFmtId="0" fontId="0" fillId="3" borderId="12" xfId="0" applyFill="1" applyBorder="1" applyAlignment="1">
      <alignment horizontal="right" vertical="center" wrapText="1"/>
    </xf>
    <xf numFmtId="0" fontId="13" fillId="3" borderId="0" xfId="0" applyFont="1" applyFill="1" applyAlignment="1">
      <alignment horizontal="left" vertical="top" wrapText="1"/>
    </xf>
    <xf numFmtId="0" fontId="15" fillId="5" borderId="72" xfId="0" applyFont="1" applyFill="1" applyBorder="1" applyAlignment="1">
      <alignment horizontal="left" vertical="top" wrapText="1"/>
    </xf>
    <xf numFmtId="0" fontId="15" fillId="5" borderId="0" xfId="0" applyFont="1" applyFill="1" applyAlignment="1">
      <alignment horizontal="left" vertical="top" wrapText="1"/>
    </xf>
    <xf numFmtId="0" fontId="11" fillId="5" borderId="17" xfId="0" applyFont="1" applyFill="1" applyBorder="1" applyAlignment="1">
      <alignment horizontal="center" vertical="center"/>
    </xf>
    <xf numFmtId="0" fontId="11" fillId="5" borderId="18" xfId="0" applyFont="1" applyFill="1" applyBorder="1" applyAlignment="1">
      <alignment horizontal="center" vertical="center"/>
    </xf>
    <xf numFmtId="0" fontId="11" fillId="5" borderId="19" xfId="0" applyFont="1" applyFill="1" applyBorder="1" applyAlignment="1">
      <alignment horizontal="center" vertical="center"/>
    </xf>
    <xf numFmtId="0" fontId="12" fillId="3" borderId="0" xfId="0" applyFont="1" applyFill="1" applyAlignment="1">
      <alignment horizontal="left" vertical="top" wrapText="1"/>
    </xf>
    <xf numFmtId="0" fontId="12" fillId="3" borderId="7" xfId="0" applyFont="1" applyFill="1" applyBorder="1" applyAlignment="1">
      <alignment horizontal="left" vertical="top" wrapText="1"/>
    </xf>
    <xf numFmtId="0" fontId="2" fillId="5" borderId="13" xfId="0" applyFont="1" applyFill="1" applyBorder="1" applyAlignment="1">
      <alignment horizontal="center"/>
    </xf>
    <xf numFmtId="0" fontId="20" fillId="3" borderId="20" xfId="0" applyFont="1" applyFill="1" applyBorder="1" applyAlignment="1">
      <alignment horizontal="left" vertical="top" wrapText="1"/>
    </xf>
    <xf numFmtId="0" fontId="20" fillId="3" borderId="2" xfId="0" applyFont="1" applyFill="1" applyBorder="1" applyAlignment="1">
      <alignment horizontal="left" vertical="top" wrapText="1"/>
    </xf>
    <xf numFmtId="0" fontId="20" fillId="3" borderId="21" xfId="0" applyFont="1" applyFill="1" applyBorder="1" applyAlignment="1">
      <alignment horizontal="left" vertical="top" wrapText="1"/>
    </xf>
    <xf numFmtId="0" fontId="20" fillId="3" borderId="22" xfId="0" applyFont="1" applyFill="1" applyBorder="1" applyAlignment="1">
      <alignment horizontal="left" vertical="top" wrapText="1"/>
    </xf>
    <xf numFmtId="0" fontId="20" fillId="3" borderId="0" xfId="0" applyFont="1" applyFill="1" applyAlignment="1">
      <alignment horizontal="left" vertical="top" wrapText="1"/>
    </xf>
    <xf numFmtId="0" fontId="20" fillId="3" borderId="23" xfId="0" applyFont="1" applyFill="1" applyBorder="1" applyAlignment="1">
      <alignment horizontal="left" vertical="top" wrapText="1"/>
    </xf>
    <xf numFmtId="0" fontId="20" fillId="3" borderId="24" xfId="0" applyFont="1" applyFill="1" applyBorder="1" applyAlignment="1">
      <alignment horizontal="left" vertical="top" wrapText="1"/>
    </xf>
    <xf numFmtId="0" fontId="20" fillId="3" borderId="25" xfId="0" applyFont="1" applyFill="1" applyBorder="1" applyAlignment="1">
      <alignment horizontal="left" vertical="top" wrapText="1"/>
    </xf>
    <xf numFmtId="0" fontId="20" fillId="3" borderId="26" xfId="0" applyFont="1" applyFill="1" applyBorder="1" applyAlignment="1">
      <alignment horizontal="left" vertical="top" wrapText="1"/>
    </xf>
    <xf numFmtId="0" fontId="12" fillId="3" borderId="0" xfId="0" applyFont="1" applyFill="1" applyAlignment="1">
      <alignment horizontal="left" vertical="center" wrapText="1"/>
    </xf>
    <xf numFmtId="0" fontId="0" fillId="5" borderId="72" xfId="0" applyFill="1" applyBorder="1" applyAlignment="1">
      <alignment horizontal="left" vertical="center"/>
    </xf>
    <xf numFmtId="0" fontId="0" fillId="5" borderId="0" xfId="0" applyFill="1" applyAlignment="1">
      <alignment horizontal="left" vertical="center"/>
    </xf>
    <xf numFmtId="0" fontId="0" fillId="5" borderId="12" xfId="0" applyFill="1" applyBorder="1" applyAlignment="1">
      <alignment horizontal="left" vertical="center"/>
    </xf>
    <xf numFmtId="0" fontId="17" fillId="5" borderId="0" xfId="0" applyFont="1" applyFill="1" applyAlignment="1">
      <alignment horizontal="left" vertical="center" wrapText="1"/>
    </xf>
    <xf numFmtId="0" fontId="0" fillId="0" borderId="0" xfId="0" applyAlignment="1">
      <alignment horizontal="center"/>
    </xf>
    <xf numFmtId="0" fontId="4" fillId="0" borderId="0" xfId="0" applyFont="1" applyAlignment="1">
      <alignment horizontal="center" vertical="center" wrapText="1"/>
    </xf>
    <xf numFmtId="0" fontId="0" fillId="8" borderId="86" xfId="0" applyFill="1" applyBorder="1" applyAlignment="1">
      <alignment horizontal="center"/>
    </xf>
    <xf numFmtId="0" fontId="0" fillId="8" borderId="87" xfId="0" applyFill="1" applyBorder="1" applyAlignment="1">
      <alignment horizontal="center"/>
    </xf>
    <xf numFmtId="0" fontId="0" fillId="8" borderId="88" xfId="0" applyFill="1" applyBorder="1" applyAlignment="1">
      <alignment horizontal="center"/>
    </xf>
    <xf numFmtId="0" fontId="0" fillId="8" borderId="105" xfId="0" applyFill="1" applyBorder="1" applyAlignment="1">
      <alignment horizontal="center"/>
    </xf>
    <xf numFmtId="0" fontId="0" fillId="8" borderId="106" xfId="0" applyFill="1" applyBorder="1" applyAlignment="1">
      <alignment horizontal="center"/>
    </xf>
    <xf numFmtId="0" fontId="0" fillId="8" borderId="107" xfId="0" applyFill="1" applyBorder="1" applyAlignment="1">
      <alignment horizontal="center"/>
    </xf>
    <xf numFmtId="0" fontId="0" fillId="8" borderId="51" xfId="0" applyFill="1" applyBorder="1" applyAlignment="1">
      <alignment horizontal="center"/>
    </xf>
    <xf numFmtId="0" fontId="0" fillId="8" borderId="73" xfId="0" applyFill="1" applyBorder="1" applyAlignment="1">
      <alignment horizontal="center"/>
    </xf>
    <xf numFmtId="0" fontId="0" fillId="8" borderId="52" xfId="0" applyFill="1" applyBorder="1" applyAlignment="1">
      <alignment horizontal="center"/>
    </xf>
  </cellXfs>
  <cellStyles count="4">
    <cellStyle name="Monétaire" xfId="1" builtinId="4"/>
    <cellStyle name="Monétaire 2" xfId="2" xr:uid="{E2242CA9-6B81-477A-B25F-66586CC8EAFE}"/>
    <cellStyle name="Normal" xfId="0" builtinId="0"/>
    <cellStyle name="Normal 2" xfId="3" xr:uid="{6E744054-C2F5-44BC-BFE6-54564DD5D496}"/>
  </cellStyles>
  <dxfs count="6">
    <dxf>
      <fill>
        <patternFill>
          <bgColor theme="0"/>
        </patternFill>
      </fill>
      <border>
        <left style="thin">
          <color auto="1"/>
        </left>
        <right style="thin">
          <color auto="1"/>
        </right>
        <top style="thin">
          <color auto="1"/>
        </top>
        <bottom style="thin">
          <color auto="1"/>
        </bottom>
        <vertical/>
        <horizontal/>
      </border>
    </dxf>
    <dxf>
      <fill>
        <patternFill>
          <bgColor theme="0"/>
        </patternFill>
      </fill>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theme="0"/>
        </patternFill>
      </fill>
      <border>
        <left style="thin">
          <color auto="1"/>
        </left>
        <right style="thin">
          <color auto="1"/>
        </right>
        <top style="thin">
          <color auto="1"/>
        </top>
        <bottom style="thin">
          <color auto="1"/>
        </bottom>
        <vertical/>
        <horizontal/>
      </border>
    </dxf>
    <dxf>
      <fill>
        <patternFill>
          <bgColor theme="0"/>
        </patternFill>
      </fill>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s>
  <tableStyles count="0" defaultTableStyle="TableStyleMedium9" defaultPivotStyle="PivotStyleLight16"/>
  <colors>
    <mruColors>
      <color rgb="FFECECEC"/>
      <color rgb="FFEAEAEA"/>
      <color rgb="FFFFCCFF"/>
      <color rgb="FFFFFFCC"/>
      <color rgb="FFFFFF99"/>
      <color rgb="FFC80000"/>
      <color rgb="FFD8F8C0"/>
      <color rgb="FF89CCCC"/>
      <color rgb="FFECECCB"/>
      <color rgb="FF9A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3</xdr:col>
      <xdr:colOff>771525</xdr:colOff>
      <xdr:row>0</xdr:row>
      <xdr:rowOff>19050</xdr:rowOff>
    </xdr:from>
    <xdr:to>
      <xdr:col>20</xdr:col>
      <xdr:colOff>447675</xdr:colOff>
      <xdr:row>1</xdr:row>
      <xdr:rowOff>485775</xdr:rowOff>
    </xdr:to>
    <xdr:sp macro="" textlink="">
      <xdr:nvSpPr>
        <xdr:cNvPr id="7" name="Rectangle 6">
          <a:extLst>
            <a:ext uri="{FF2B5EF4-FFF2-40B4-BE49-F238E27FC236}">
              <a16:creationId xmlns:a16="http://schemas.microsoft.com/office/drawing/2014/main" id="{00000000-0008-0000-0000-000007000000}"/>
            </a:ext>
          </a:extLst>
        </xdr:cNvPr>
        <xdr:cNvSpPr/>
      </xdr:nvSpPr>
      <xdr:spPr>
        <a:xfrm>
          <a:off x="3124200" y="19050"/>
          <a:ext cx="6781800" cy="9906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fr-CA" sz="1100"/>
        </a:p>
      </xdr:txBody>
    </xdr:sp>
    <xdr:clientData/>
  </xdr:twoCellAnchor>
  <xdr:twoCellAnchor>
    <xdr:from>
      <xdr:col>0</xdr:col>
      <xdr:colOff>9525</xdr:colOff>
      <xdr:row>0</xdr:row>
      <xdr:rowOff>9526</xdr:rowOff>
    </xdr:from>
    <xdr:to>
      <xdr:col>29</xdr:col>
      <xdr:colOff>124996</xdr:colOff>
      <xdr:row>2</xdr:row>
      <xdr:rowOff>0</xdr:rowOff>
    </xdr:to>
    <xdr:pic>
      <xdr:nvPicPr>
        <xdr:cNvPr id="9" name="Image 8" descr="BANDEAU pour EXCEL_V2.jpg">
          <a:extLst>
            <a:ext uri="{FF2B5EF4-FFF2-40B4-BE49-F238E27FC236}">
              <a16:creationId xmlns:a16="http://schemas.microsoft.com/office/drawing/2014/main" id="{00000000-0008-0000-0000-000009000000}"/>
            </a:ext>
          </a:extLst>
        </xdr:cNvPr>
        <xdr:cNvPicPr>
          <a:picLocks noChangeAspect="1"/>
        </xdr:cNvPicPr>
      </xdr:nvPicPr>
      <xdr:blipFill>
        <a:blip xmlns:r="http://schemas.openxmlformats.org/officeDocument/2006/relationships" r:embed="rId1"/>
        <a:srcRect r="452"/>
        <a:stretch>
          <a:fillRect/>
        </a:stretch>
      </xdr:blipFill>
      <xdr:spPr>
        <a:xfrm>
          <a:off x="9525" y="9526"/>
          <a:ext cx="12907546" cy="1866899"/>
        </a:xfrm>
        <a:prstGeom prst="rect">
          <a:avLst/>
        </a:prstGeom>
      </xdr:spPr>
    </xdr:pic>
    <xdr:clientData/>
  </xdr:twoCellAnchor>
  <xdr:twoCellAnchor>
    <xdr:from>
      <xdr:col>24</xdr:col>
      <xdr:colOff>381001</xdr:colOff>
      <xdr:row>0</xdr:row>
      <xdr:rowOff>563217</xdr:rowOff>
    </xdr:from>
    <xdr:to>
      <xdr:col>25</xdr:col>
      <xdr:colOff>762001</xdr:colOff>
      <xdr:row>0</xdr:row>
      <xdr:rowOff>1134717</xdr:rowOff>
    </xdr:to>
    <xdr:sp macro="" textlink="">
      <xdr:nvSpPr>
        <xdr:cNvPr id="4" name="ZoneTexte 3">
          <a:extLst>
            <a:ext uri="{FF2B5EF4-FFF2-40B4-BE49-F238E27FC236}">
              <a16:creationId xmlns:a16="http://schemas.microsoft.com/office/drawing/2014/main" id="{00000000-0008-0000-0000-000004000000}"/>
            </a:ext>
          </a:extLst>
        </xdr:cNvPr>
        <xdr:cNvSpPr txBox="1"/>
      </xdr:nvSpPr>
      <xdr:spPr>
        <a:xfrm>
          <a:off x="8862392" y="563217"/>
          <a:ext cx="1333500" cy="57150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CA" sz="4000" b="1">
              <a:latin typeface="+mn-lt"/>
            </a:rPr>
            <a:t>2024</a:t>
          </a:r>
        </a:p>
        <a:p>
          <a:pPr algn="ctr"/>
          <a:endParaRPr lang="fr-CA" sz="4000" b="1">
            <a:latin typeface="+mn-lt"/>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9525</xdr:colOff>
      <xdr:row>0</xdr:row>
      <xdr:rowOff>19050</xdr:rowOff>
    </xdr:from>
    <xdr:to>
      <xdr:col>29</xdr:col>
      <xdr:colOff>257175</xdr:colOff>
      <xdr:row>1</xdr:row>
      <xdr:rowOff>495300</xdr:rowOff>
    </xdr:to>
    <xdr:pic>
      <xdr:nvPicPr>
        <xdr:cNvPr id="3" name="Image 2" descr="BANDEAU_en_ pour EXCEL_V1.jpg">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a:stretch>
          <a:fillRect/>
        </a:stretch>
      </xdr:blipFill>
      <xdr:spPr>
        <a:xfrm>
          <a:off x="9525" y="19050"/>
          <a:ext cx="14097000" cy="2019300"/>
        </a:xfrm>
        <a:prstGeom prst="rect">
          <a:avLst/>
        </a:prstGeom>
      </xdr:spPr>
    </xdr:pic>
    <xdr:clientData/>
  </xdr:twoCellAnchor>
  <xdr:twoCellAnchor>
    <xdr:from>
      <xdr:col>23</xdr:col>
      <xdr:colOff>400051</xdr:colOff>
      <xdr:row>0</xdr:row>
      <xdr:rowOff>628650</xdr:rowOff>
    </xdr:from>
    <xdr:to>
      <xdr:col>24</xdr:col>
      <xdr:colOff>866776</xdr:colOff>
      <xdr:row>0</xdr:row>
      <xdr:rowOff>1200150</xdr:rowOff>
    </xdr:to>
    <xdr:sp macro="" textlink="">
      <xdr:nvSpPr>
        <xdr:cNvPr id="2" name="ZoneTexte 1">
          <a:extLst>
            <a:ext uri="{FF2B5EF4-FFF2-40B4-BE49-F238E27FC236}">
              <a16:creationId xmlns:a16="http://schemas.microsoft.com/office/drawing/2014/main" id="{00000000-0008-0000-0300-000002000000}"/>
            </a:ext>
          </a:extLst>
        </xdr:cNvPr>
        <xdr:cNvSpPr txBox="1"/>
      </xdr:nvSpPr>
      <xdr:spPr>
        <a:xfrm>
          <a:off x="9525001" y="628650"/>
          <a:ext cx="1333500" cy="57150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CA" sz="4000" b="1">
              <a:latin typeface="+mn-lt"/>
            </a:rPr>
            <a:t>2024</a:t>
          </a:r>
        </a:p>
        <a:p>
          <a:pPr algn="ctr"/>
          <a:endParaRPr lang="fr-CA" sz="4000" b="1">
            <a:latin typeface="+mn-lt"/>
          </a:endParaRPr>
        </a:p>
      </xdr:txBody>
    </xdr:sp>
    <xdr:clientData/>
  </xdr:twoCellAnchor>
</xdr:wsDr>
</file>

<file path=xl/persons/person.xml><?xml version="1.0" encoding="utf-8"?>
<personList xmlns="http://schemas.microsoft.com/office/spreadsheetml/2018/threadedcomments" xmlns:x="http://schemas.openxmlformats.org/spreadsheetml/2006/main">
  <person displayName="Daniel Légaré" id="{5C4E2BE7-20E0-4D56-A951-E4D129C77D61}" userId="S::Daniel.Legare@csn.qc.ca::90675d1d-d6b3-47d6-aba7-a2d1cecacb02"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L11" dT="2022-09-14T20:05:38.36" personId="{5C4E2BE7-20E0-4D56-A951-E4D129C77D61}" id="{B028F132-4C2E-4520-B3E4-8206E88E59B2}">
    <text>POur retrouver la formule prendre la version 2021 du calculatueur</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tabColor rgb="FFFF0000"/>
    <pageSetUpPr fitToPage="1"/>
  </sheetPr>
  <dimension ref="A1:GW133"/>
  <sheetViews>
    <sheetView showGridLines="0" tabSelected="1" zoomScaleNormal="100" workbookViewId="0">
      <selection activeCell="I4" sqref="I4"/>
    </sheetView>
  </sheetViews>
  <sheetFormatPr baseColWidth="10" defaultColWidth="11.42578125" defaultRowHeight="15" x14ac:dyDescent="0.25"/>
  <cols>
    <col min="1" max="1" width="2" customWidth="1"/>
    <col min="2" max="2" width="4.28515625" customWidth="1"/>
    <col min="3" max="3" width="0.7109375" customWidth="1"/>
    <col min="4" max="4" width="4.28515625" customWidth="1"/>
    <col min="5" max="5" width="0.7109375" customWidth="1"/>
    <col min="6" max="6" width="7.140625" customWidth="1"/>
    <col min="7" max="7" width="2.7109375" customWidth="1"/>
    <col min="8" max="8" width="2.85546875" customWidth="1"/>
    <col min="9" max="9" width="4.85546875" customWidth="1"/>
    <col min="10" max="10" width="1.42578125" customWidth="1"/>
    <col min="11" max="11" width="2.85546875" customWidth="1"/>
    <col min="12" max="12" width="21.28515625" customWidth="1"/>
    <col min="13" max="13" width="6.7109375" customWidth="1"/>
    <col min="14" max="14" width="5.140625" customWidth="1"/>
    <col min="15" max="15" width="4.7109375" customWidth="1"/>
    <col min="16" max="16" width="5.7109375" customWidth="1"/>
    <col min="17" max="17" width="4.5703125" customWidth="1"/>
    <col min="18" max="18" width="0.7109375" customWidth="1"/>
    <col min="19" max="20" width="3.42578125" customWidth="1"/>
    <col min="21" max="21" width="4.5703125" customWidth="1"/>
    <col min="22" max="22" width="13.140625" customWidth="1"/>
    <col min="23" max="23" width="13.5703125" customWidth="1"/>
    <col min="24" max="24" width="9" customWidth="1"/>
    <col min="25" max="26" width="14.28515625" customWidth="1"/>
    <col min="27" max="27" width="10" customWidth="1"/>
    <col min="28" max="28" width="9.140625" customWidth="1"/>
    <col min="29" max="29" width="14.28515625" customWidth="1"/>
    <col min="30" max="30" width="2" customWidth="1"/>
  </cols>
  <sheetData>
    <row r="1" spans="1:32" ht="108" customHeight="1" x14ac:dyDescent="0.25">
      <c r="A1" s="3"/>
      <c r="B1" s="462"/>
      <c r="C1" s="10"/>
      <c r="D1" s="464"/>
      <c r="E1" s="464"/>
      <c r="F1" s="464"/>
      <c r="G1" s="464"/>
      <c r="H1" s="464"/>
      <c r="I1" s="464"/>
      <c r="J1" s="464"/>
      <c r="K1" s="464"/>
      <c r="L1" s="464"/>
      <c r="M1" s="464"/>
      <c r="N1" s="464"/>
      <c r="O1" s="464"/>
      <c r="P1" s="464"/>
      <c r="Q1" s="464"/>
      <c r="R1" s="464"/>
      <c r="S1" s="464"/>
      <c r="T1" s="464"/>
      <c r="U1" s="464"/>
      <c r="V1" s="462"/>
      <c r="W1" s="462"/>
      <c r="X1" s="462"/>
      <c r="Y1" s="462"/>
      <c r="AE1" s="319"/>
    </row>
    <row r="2" spans="1:32" ht="39.75" customHeight="1" x14ac:dyDescent="0.25">
      <c r="A2" s="11"/>
      <c r="B2" s="463"/>
      <c r="C2" s="12"/>
      <c r="D2" s="465"/>
      <c r="E2" s="465"/>
      <c r="F2" s="465"/>
      <c r="G2" s="465"/>
      <c r="H2" s="465"/>
      <c r="I2" s="465"/>
      <c r="J2" s="465"/>
      <c r="K2" s="465"/>
      <c r="L2" s="465"/>
      <c r="M2" s="465"/>
      <c r="N2" s="465"/>
      <c r="O2" s="465"/>
      <c r="P2" s="465"/>
      <c r="Q2" s="465"/>
      <c r="R2" s="465"/>
      <c r="S2" s="465"/>
      <c r="T2" s="465"/>
      <c r="U2" s="465"/>
      <c r="V2" s="463"/>
      <c r="W2" s="463"/>
      <c r="X2" s="463"/>
      <c r="Y2" s="463"/>
      <c r="Z2" s="117"/>
      <c r="AA2" s="117"/>
      <c r="AB2" s="117"/>
      <c r="AC2" s="117"/>
      <c r="AD2" s="117"/>
    </row>
    <row r="3" spans="1:32" ht="29.65" customHeight="1" thickBot="1" x14ac:dyDescent="0.4">
      <c r="A3" s="13"/>
      <c r="B3" s="201" t="s">
        <v>0</v>
      </c>
      <c r="C3" s="201"/>
      <c r="D3" s="201"/>
      <c r="E3" s="201"/>
      <c r="F3" s="14"/>
      <c r="G3" s="14"/>
      <c r="H3" s="14"/>
      <c r="I3" s="14"/>
      <c r="J3" s="14"/>
      <c r="K3" s="14"/>
      <c r="L3" s="14"/>
      <c r="M3" s="14"/>
      <c r="N3" s="14"/>
      <c r="O3" s="14"/>
      <c r="P3" s="14"/>
      <c r="Q3" s="427" t="str">
        <f>IF(I4&gt;=65,IF(COUNTBLANK(Q4:U4)&lt;3,"Il ne peut y avoir qu'un seul choix de réponse",IF(COUNTBLANK(Q4:U4)=4,"Inscrivez un X dans la case appropriée","")),"")</f>
        <v/>
      </c>
      <c r="R3" s="14"/>
      <c r="S3" s="305"/>
      <c r="T3" s="305"/>
      <c r="U3" s="305"/>
      <c r="V3" s="14"/>
      <c r="W3" s="14"/>
      <c r="X3" s="14"/>
      <c r="Y3" s="14"/>
      <c r="Z3" s="14"/>
      <c r="AA3" s="14"/>
      <c r="AB3" s="14"/>
      <c r="AC3" s="14"/>
      <c r="AD3" s="15"/>
    </row>
    <row r="4" spans="1:32" ht="28.15" customHeight="1" thickBot="1" x14ac:dyDescent="0.4">
      <c r="A4" s="16"/>
      <c r="B4" s="17"/>
      <c r="C4" s="20"/>
      <c r="D4" s="21"/>
      <c r="E4" s="17"/>
      <c r="F4" s="17"/>
      <c r="G4" s="17"/>
      <c r="H4" s="301" t="s">
        <v>285</v>
      </c>
      <c r="I4" s="316"/>
      <c r="J4" s="300" t="s">
        <v>286</v>
      </c>
      <c r="K4" s="302"/>
      <c r="L4" s="466" t="str">
        <f>IF(I4&gt;=65,"Êtes-vous inscrit à la RAMQ : ","")</f>
        <v/>
      </c>
      <c r="M4" s="467"/>
      <c r="N4" s="467"/>
      <c r="O4" s="467"/>
      <c r="P4" s="467"/>
      <c r="Q4" s="304"/>
      <c r="R4" s="298" t="str">
        <f>IF(I4&gt;=65,"Oui","")</f>
        <v/>
      </c>
      <c r="S4" s="306"/>
      <c r="T4" s="17"/>
      <c r="U4" s="304"/>
      <c r="V4" s="298" t="str">
        <f>IF(I4&gt;=65,"Non","")</f>
        <v/>
      </c>
      <c r="W4" s="17"/>
      <c r="X4" s="17"/>
      <c r="Y4" s="17"/>
      <c r="Z4" s="17"/>
      <c r="AA4" s="17"/>
      <c r="AB4" s="17"/>
      <c r="AC4" s="17"/>
      <c r="AD4" s="19"/>
    </row>
    <row r="5" spans="1:32" ht="4.9000000000000004" customHeight="1" x14ac:dyDescent="0.35">
      <c r="A5" s="17"/>
      <c r="B5" s="17"/>
      <c r="C5" s="20"/>
      <c r="D5" s="21"/>
      <c r="E5" s="17"/>
      <c r="F5" s="17"/>
      <c r="G5" s="17"/>
      <c r="H5" s="301"/>
      <c r="I5" s="208"/>
      <c r="J5" s="85"/>
      <c r="K5" s="17"/>
      <c r="L5" s="305"/>
      <c r="M5" s="305"/>
      <c r="N5" s="305"/>
      <c r="O5" s="305"/>
      <c r="P5" s="305"/>
      <c r="Q5" s="208"/>
      <c r="R5" s="298"/>
      <c r="S5" s="303"/>
      <c r="T5" s="303"/>
      <c r="U5" s="299"/>
      <c r="V5" s="299"/>
      <c r="W5" s="124"/>
      <c r="X5" s="17"/>
      <c r="Y5" s="298"/>
      <c r="Z5" s="85"/>
      <c r="AA5" s="17"/>
      <c r="AB5" s="17"/>
      <c r="AC5" s="17"/>
      <c r="AD5" s="19"/>
    </row>
    <row r="6" spans="1:32" ht="15" customHeight="1" x14ac:dyDescent="0.35">
      <c r="A6" s="17"/>
      <c r="B6" s="17"/>
      <c r="C6" s="17"/>
      <c r="D6" s="17"/>
      <c r="E6" s="17"/>
      <c r="F6" s="17"/>
      <c r="G6" s="17"/>
      <c r="H6" s="17"/>
      <c r="I6" s="17"/>
      <c r="J6" s="17"/>
      <c r="K6" s="17"/>
      <c r="L6" s="305"/>
      <c r="M6" s="305"/>
      <c r="N6" s="305"/>
      <c r="O6" s="305"/>
      <c r="P6" s="305"/>
      <c r="Q6" s="308" t="str">
        <f>IF(I4&gt;=65,"",IF(AND(I4&lt;65,U4="",Q4=""),"","Effacer le contenu des cellules ci-dessus"))</f>
        <v/>
      </c>
      <c r="R6" s="17"/>
      <c r="S6" s="17"/>
      <c r="T6" s="17"/>
      <c r="U6" s="17"/>
      <c r="V6" s="17"/>
      <c r="W6" s="17"/>
      <c r="X6" s="17"/>
      <c r="Y6" s="20"/>
      <c r="Z6" s="17"/>
      <c r="AA6" s="17"/>
      <c r="AB6" s="17"/>
      <c r="AC6" s="17"/>
      <c r="AD6" s="19"/>
    </row>
    <row r="7" spans="1:32" ht="30" hidden="1" customHeight="1" x14ac:dyDescent="0.35">
      <c r="A7" s="17"/>
      <c r="B7" s="17"/>
      <c r="C7" s="17"/>
      <c r="D7" s="17"/>
      <c r="E7" s="17"/>
      <c r="F7" s="17"/>
      <c r="G7" s="17"/>
      <c r="H7" s="17"/>
      <c r="I7" s="17"/>
      <c r="J7" s="17"/>
      <c r="K7" s="17"/>
      <c r="L7" s="305"/>
      <c r="M7" s="307"/>
      <c r="N7" s="307"/>
      <c r="O7" s="307"/>
      <c r="P7" s="307"/>
      <c r="Q7" s="17"/>
      <c r="R7" s="17"/>
      <c r="S7" s="17"/>
      <c r="T7" s="17"/>
      <c r="U7" s="17"/>
      <c r="V7" s="17"/>
      <c r="W7" s="17"/>
      <c r="X7" s="17"/>
      <c r="Y7" s="20"/>
      <c r="Z7" s="17"/>
      <c r="AA7" s="17"/>
      <c r="AB7" s="17"/>
      <c r="AC7" s="17"/>
      <c r="AD7" s="19"/>
    </row>
    <row r="8" spans="1:32" ht="30" customHeight="1" thickBot="1" x14ac:dyDescent="0.3">
      <c r="A8" s="16"/>
      <c r="B8" s="431" t="s">
        <v>110</v>
      </c>
      <c r="C8" s="431"/>
      <c r="D8" s="431"/>
      <c r="E8" s="431"/>
      <c r="F8" s="431"/>
      <c r="G8" s="431"/>
      <c r="H8" s="431"/>
      <c r="I8" s="431"/>
      <c r="J8" s="431"/>
      <c r="K8" s="431"/>
      <c r="L8" s="431"/>
      <c r="M8" s="431"/>
      <c r="N8" s="17"/>
      <c r="O8" s="17"/>
      <c r="P8" s="17"/>
      <c r="Q8" s="382" t="s">
        <v>74</v>
      </c>
      <c r="R8" s="17"/>
      <c r="S8" s="17"/>
      <c r="T8" s="17"/>
      <c r="U8" s="17"/>
      <c r="V8" s="17"/>
      <c r="W8" s="17"/>
      <c r="X8" s="17"/>
      <c r="Y8" s="17"/>
      <c r="Z8" s="17"/>
      <c r="AA8" s="17"/>
      <c r="AB8" s="18"/>
      <c r="AC8" s="18"/>
      <c r="AD8" s="19"/>
    </row>
    <row r="9" spans="1:32" ht="30" customHeight="1" thickBot="1" x14ac:dyDescent="0.4">
      <c r="A9" s="16"/>
      <c r="B9" s="119"/>
      <c r="C9" s="20"/>
      <c r="D9" s="434" t="str">
        <f>Taux!B3</f>
        <v>Protection de base (module A)</v>
      </c>
      <c r="E9" s="435"/>
      <c r="F9" s="435"/>
      <c r="G9" s="435"/>
      <c r="H9" s="435"/>
      <c r="I9" s="435"/>
      <c r="J9" s="435"/>
      <c r="K9" s="435"/>
      <c r="L9" s="436"/>
      <c r="M9" s="429" t="str">
        <f>IF(COUNTBLANK(B9:B15)&lt;6,"Il ne peut y avoir qu'un seul choix de réponse",IF(COUNTBLANK(B9:B15)=7,"Vous devez faire un choix de protection",""))</f>
        <v>Vous devez faire un choix de protection</v>
      </c>
      <c r="N9" s="429"/>
      <c r="O9" s="429"/>
      <c r="P9" s="17"/>
      <c r="Q9" s="119"/>
      <c r="R9" s="17"/>
      <c r="S9" s="434" t="str">
        <f>Taux!C3</f>
        <v>Individuel</v>
      </c>
      <c r="T9" s="435"/>
      <c r="U9" s="435"/>
      <c r="V9" s="436"/>
      <c r="W9" s="429" t="str">
        <f>IF(AND(B15="X",OR(COUNTIF(Q9:Q15,"X")=0,COUNTIF(Q9:Q15,"X")=1)),"",IF(COUNTIF(Q9:Q15,"X")&gt;1,"Il ne peut y avoir qu'un seul choix de réponse",IF(COUNTBLANK(Q9:Q15)=7,"Vous devez faire un choix de protection","")))</f>
        <v>Vous devez faire un choix de protection</v>
      </c>
      <c r="X9" s="429"/>
      <c r="Y9" s="298"/>
      <c r="Z9" s="17"/>
      <c r="AA9" s="22"/>
      <c r="AB9" s="18"/>
      <c r="AC9" s="18"/>
      <c r="AD9" s="19"/>
    </row>
    <row r="10" spans="1:32" ht="3.75" customHeight="1" thickBot="1" x14ac:dyDescent="0.4">
      <c r="A10" s="16"/>
      <c r="B10" s="20"/>
      <c r="C10" s="20"/>
      <c r="D10" s="21"/>
      <c r="E10" s="21"/>
      <c r="F10" s="21"/>
      <c r="G10" s="21"/>
      <c r="H10" s="21"/>
      <c r="I10" s="21"/>
      <c r="J10" s="21"/>
      <c r="K10" s="21"/>
      <c r="L10" s="21"/>
      <c r="M10" s="429"/>
      <c r="N10" s="429"/>
      <c r="O10" s="429"/>
      <c r="P10" s="17"/>
      <c r="Q10" s="21"/>
      <c r="R10" s="17"/>
      <c r="S10" s="21"/>
      <c r="T10" s="21"/>
      <c r="U10" s="21"/>
      <c r="V10" s="21"/>
      <c r="W10" s="429"/>
      <c r="X10" s="429"/>
      <c r="Y10" s="17"/>
      <c r="Z10" s="17"/>
      <c r="AA10" s="22"/>
      <c r="AB10" s="18"/>
      <c r="AC10" s="18"/>
      <c r="AD10" s="19"/>
    </row>
    <row r="11" spans="1:32" ht="30" customHeight="1" thickBot="1" x14ac:dyDescent="0.4">
      <c r="A11" s="16"/>
      <c r="B11" s="119"/>
      <c r="C11" s="20"/>
      <c r="D11" s="434" t="str">
        <f>Taux!B4</f>
        <v>Protection régulière (module B)</v>
      </c>
      <c r="E11" s="435"/>
      <c r="F11" s="435"/>
      <c r="G11" s="435"/>
      <c r="H11" s="435"/>
      <c r="I11" s="435"/>
      <c r="J11" s="435"/>
      <c r="K11" s="435"/>
      <c r="L11" s="436"/>
      <c r="M11" s="429"/>
      <c r="N11" s="429"/>
      <c r="O11" s="429"/>
      <c r="P11" s="17"/>
      <c r="Q11" s="119"/>
      <c r="R11" s="17"/>
      <c r="S11" s="434" t="str">
        <f>Taux!C4</f>
        <v>Monoparental</v>
      </c>
      <c r="T11" s="435"/>
      <c r="U11" s="435"/>
      <c r="V11" s="436"/>
      <c r="W11" s="429"/>
      <c r="X11" s="429"/>
      <c r="Y11" s="17"/>
      <c r="Z11" s="22"/>
      <c r="AA11" s="18"/>
      <c r="AB11" s="23" t="s">
        <v>273</v>
      </c>
      <c r="AC11" s="225">
        <f>IF(AND(W9="",M9="",Q3=""),Taux!F22,0)</f>
        <v>0</v>
      </c>
      <c r="AD11" s="19"/>
    </row>
    <row r="12" spans="1:32" ht="3.75" customHeight="1" thickBot="1" x14ac:dyDescent="0.4">
      <c r="A12" s="16"/>
      <c r="B12" s="20"/>
      <c r="C12" s="20"/>
      <c r="D12" s="21"/>
      <c r="E12" s="21"/>
      <c r="F12" s="21"/>
      <c r="G12" s="21"/>
      <c r="H12" s="21"/>
      <c r="I12" s="21"/>
      <c r="J12" s="21"/>
      <c r="K12" s="21"/>
      <c r="L12" s="21"/>
      <c r="M12" s="429"/>
      <c r="N12" s="429"/>
      <c r="O12" s="429"/>
      <c r="P12" s="17"/>
      <c r="Q12" s="21"/>
      <c r="R12" s="17"/>
      <c r="S12" s="21"/>
      <c r="T12" s="21"/>
      <c r="U12" s="21"/>
      <c r="V12" s="21"/>
      <c r="W12" s="429"/>
      <c r="X12" s="429"/>
      <c r="Y12" s="17"/>
      <c r="Z12" s="22"/>
      <c r="AA12" s="17"/>
      <c r="AB12" s="17"/>
      <c r="AC12" s="17"/>
      <c r="AD12" s="19"/>
    </row>
    <row r="13" spans="1:32" ht="30" customHeight="1" thickBot="1" x14ac:dyDescent="0.4">
      <c r="A13" s="16"/>
      <c r="B13" s="119"/>
      <c r="C13" s="20"/>
      <c r="D13" s="434" t="str">
        <f>Taux!B5</f>
        <v>Protection enrichie (module C)</v>
      </c>
      <c r="E13" s="435"/>
      <c r="F13" s="435"/>
      <c r="G13" s="435"/>
      <c r="H13" s="435"/>
      <c r="I13" s="435"/>
      <c r="J13" s="435"/>
      <c r="K13" s="435"/>
      <c r="L13" s="436"/>
      <c r="M13" s="429"/>
      <c r="N13" s="429"/>
      <c r="O13" s="429"/>
      <c r="P13" s="17"/>
      <c r="Q13" s="119"/>
      <c r="R13" s="17"/>
      <c r="S13" s="434" t="str">
        <f>Taux!C5</f>
        <v>Familial</v>
      </c>
      <c r="T13" s="435"/>
      <c r="U13" s="435"/>
      <c r="V13" s="436"/>
      <c r="W13" s="429"/>
      <c r="X13" s="429"/>
      <c r="Y13" s="17"/>
      <c r="Z13" s="22"/>
      <c r="AA13" s="22"/>
      <c r="AB13" s="23" t="s">
        <v>271</v>
      </c>
      <c r="AC13" s="225">
        <f>26*AC11</f>
        <v>0</v>
      </c>
      <c r="AD13" s="19"/>
    </row>
    <row r="14" spans="1:32" ht="3.75" customHeight="1" thickBot="1" x14ac:dyDescent="0.4">
      <c r="A14" s="16"/>
      <c r="B14" s="20"/>
      <c r="C14" s="20"/>
      <c r="D14" s="21"/>
      <c r="E14" s="21"/>
      <c r="F14" s="21"/>
      <c r="G14" s="21"/>
      <c r="H14" s="21"/>
      <c r="I14" s="21"/>
      <c r="J14" s="21"/>
      <c r="K14" s="21"/>
      <c r="L14" s="21"/>
      <c r="M14" s="429"/>
      <c r="N14" s="429"/>
      <c r="O14" s="429"/>
      <c r="P14" s="17"/>
      <c r="Q14" s="21"/>
      <c r="R14" s="17"/>
      <c r="S14" s="21"/>
      <c r="T14" s="21"/>
      <c r="U14" s="21"/>
      <c r="V14" s="21"/>
      <c r="W14" s="429"/>
      <c r="X14" s="429"/>
      <c r="Y14" s="17"/>
      <c r="Z14" s="22"/>
      <c r="AA14" s="17"/>
      <c r="AB14" s="23"/>
      <c r="AC14" s="18"/>
      <c r="AD14" s="19"/>
    </row>
    <row r="15" spans="1:32" ht="30" customHeight="1" thickBot="1" x14ac:dyDescent="0.4">
      <c r="A15" s="16"/>
      <c r="B15" s="119"/>
      <c r="C15" s="20"/>
      <c r="D15" s="434" t="str">
        <f>Taux!B6</f>
        <v>Je suis couvert par l'assurance de mon conjoint</v>
      </c>
      <c r="E15" s="435"/>
      <c r="F15" s="435"/>
      <c r="G15" s="435"/>
      <c r="H15" s="435"/>
      <c r="I15" s="435"/>
      <c r="J15" s="435"/>
      <c r="K15" s="435"/>
      <c r="L15" s="436"/>
      <c r="M15" s="429"/>
      <c r="N15" s="429"/>
      <c r="O15" s="429"/>
      <c r="P15" s="17"/>
      <c r="Q15" s="119"/>
      <c r="R15" s="17"/>
      <c r="S15" s="434" t="str">
        <f>Taux!C6</f>
        <v>Couple</v>
      </c>
      <c r="T15" s="435"/>
      <c r="U15" s="435"/>
      <c r="V15" s="436"/>
      <c r="W15" s="429"/>
      <c r="X15" s="429"/>
      <c r="Y15" s="17"/>
      <c r="Z15" s="22"/>
      <c r="AA15" s="22"/>
      <c r="AB15" s="23"/>
      <c r="AC15" s="340" t="str">
        <f xml:space="preserve"> IF(AC11&gt;0,"Ce cout n'inclut pas la taxe de vente de 9 %","")</f>
        <v/>
      </c>
      <c r="AD15" s="19"/>
      <c r="AF15" s="111"/>
    </row>
    <row r="16" spans="1:32" ht="12.75" customHeight="1" x14ac:dyDescent="0.35">
      <c r="A16" s="16"/>
      <c r="B16" s="20"/>
      <c r="C16" s="20"/>
      <c r="D16" s="17"/>
      <c r="E16" s="17"/>
      <c r="F16" s="17"/>
      <c r="G16" s="17"/>
      <c r="H16" s="17"/>
      <c r="I16" s="17"/>
      <c r="J16" s="17"/>
      <c r="K16" s="17"/>
      <c r="L16" s="17"/>
      <c r="M16" s="17"/>
      <c r="N16" s="17"/>
      <c r="O16" s="17"/>
      <c r="P16" s="17"/>
      <c r="Q16" s="17"/>
      <c r="R16" s="24"/>
      <c r="S16" s="17"/>
      <c r="T16" s="17"/>
      <c r="U16" s="17"/>
      <c r="V16" s="17"/>
      <c r="W16" s="17"/>
      <c r="X16" s="17"/>
      <c r="Y16" s="17"/>
      <c r="Z16" s="22"/>
      <c r="AA16" s="22"/>
      <c r="AB16" s="22"/>
      <c r="AC16" s="18"/>
      <c r="AD16" s="19"/>
    </row>
    <row r="17" spans="1:32" ht="21" x14ac:dyDescent="0.35">
      <c r="A17" s="25"/>
      <c r="B17" s="26" t="s">
        <v>3</v>
      </c>
      <c r="C17" s="26"/>
      <c r="D17" s="27"/>
      <c r="E17" s="27"/>
      <c r="F17" s="27"/>
      <c r="G17" s="27"/>
      <c r="H17" s="27"/>
      <c r="I17" s="27"/>
      <c r="J17" s="27"/>
      <c r="K17" s="27"/>
      <c r="L17" s="27"/>
      <c r="M17" s="27"/>
      <c r="N17" s="27"/>
      <c r="O17" s="27"/>
      <c r="P17" s="27"/>
      <c r="Q17" s="27"/>
      <c r="R17" s="27"/>
      <c r="S17" s="27"/>
      <c r="T17" s="27"/>
      <c r="U17" s="27"/>
      <c r="V17" s="27"/>
      <c r="W17" s="27"/>
      <c r="X17" s="27"/>
      <c r="Y17" s="27"/>
      <c r="Z17" s="28"/>
      <c r="AA17" s="28"/>
      <c r="AB17" s="28"/>
      <c r="AC17" s="28"/>
      <c r="AD17" s="29"/>
    </row>
    <row r="18" spans="1:32" ht="30" customHeight="1" thickBot="1" x14ac:dyDescent="0.4">
      <c r="A18" s="30"/>
      <c r="B18" s="32" t="s">
        <v>85</v>
      </c>
      <c r="C18" s="31"/>
      <c r="D18" s="32"/>
      <c r="E18" s="33"/>
      <c r="F18" s="33"/>
      <c r="G18" s="33"/>
      <c r="H18" s="33"/>
      <c r="I18" s="33"/>
      <c r="J18" s="33"/>
      <c r="K18" s="33"/>
      <c r="L18" s="33"/>
      <c r="M18" s="33"/>
      <c r="N18" s="33"/>
      <c r="O18" s="33"/>
      <c r="P18" s="33"/>
      <c r="Q18" s="33"/>
      <c r="R18" s="33"/>
      <c r="S18" s="381" t="s">
        <v>83</v>
      </c>
      <c r="T18" s="33"/>
      <c r="U18" s="33"/>
      <c r="V18" s="33"/>
      <c r="W18" s="33"/>
      <c r="X18" s="33"/>
      <c r="Y18" s="33"/>
      <c r="Z18" s="34"/>
      <c r="AA18" s="34"/>
      <c r="AB18" s="34"/>
      <c r="AC18" s="34"/>
      <c r="AD18" s="35"/>
    </row>
    <row r="19" spans="1:32" ht="30" customHeight="1" thickBot="1" x14ac:dyDescent="0.4">
      <c r="A19" s="30"/>
      <c r="B19" s="119"/>
      <c r="C19" s="36"/>
      <c r="D19" s="439" t="str">
        <f>Taux!L3</f>
        <v>Aucune option</v>
      </c>
      <c r="E19" s="461"/>
      <c r="F19" s="461"/>
      <c r="G19" s="461"/>
      <c r="H19" s="461"/>
      <c r="I19" s="461"/>
      <c r="J19" s="461"/>
      <c r="K19" s="461"/>
      <c r="L19" s="440"/>
      <c r="M19" s="468" t="str">
        <f>IF(COUNTBLANK(B19:B23)&lt;4,"Il ne peut y avoir qu'un seul choix de réponse",IF(COUNTBLANK(B19:B23)=5,"Vous devez faire un choix de  protection",""))</f>
        <v>Vous devez faire un choix de  protection</v>
      </c>
      <c r="N19" s="468"/>
      <c r="O19" s="468"/>
      <c r="P19" s="33"/>
      <c r="Q19" s="33"/>
      <c r="R19" s="33"/>
      <c r="S19" s="458" t="str">
        <f>IF(B19="X","",Taux!C9)</f>
        <v/>
      </c>
      <c r="T19" s="459"/>
      <c r="U19" s="459"/>
      <c r="V19" s="460"/>
      <c r="W19" s="457" t="str">
        <f>IF(OR(AND(B15="X",COUNTIF(Q9:Q15,"X")&gt;0,COUNTIF(B21:B23,"X")&gt;0),B19="X",COUNTIF(B19:B23,"X")=0,AND(COUNTIF(B9:B13,"X")&gt;0,COUNTIF(Q9:Q15,"X")&gt;0,COUNTIF(B21:B23,"X")&gt;0)),"","Choisir une protection dans la section assurance maladie")</f>
        <v/>
      </c>
      <c r="X19" s="457"/>
      <c r="Y19" s="457"/>
      <c r="Z19" s="457"/>
      <c r="AA19" s="457"/>
      <c r="AB19" s="457"/>
      <c r="AC19" s="34"/>
      <c r="AD19" s="35"/>
      <c r="AF19" s="111"/>
    </row>
    <row r="20" spans="1:32" ht="3.75" customHeight="1" thickBot="1" x14ac:dyDescent="0.4">
      <c r="A20" s="30"/>
      <c r="B20" s="36"/>
      <c r="C20" s="36"/>
      <c r="D20" s="37"/>
      <c r="E20" s="37"/>
      <c r="F20" s="37"/>
      <c r="G20" s="37"/>
      <c r="H20" s="37"/>
      <c r="I20" s="37"/>
      <c r="J20" s="37"/>
      <c r="K20" s="37"/>
      <c r="L20" s="37"/>
      <c r="M20" s="468"/>
      <c r="N20" s="468"/>
      <c r="O20" s="468"/>
      <c r="P20" s="33"/>
      <c r="Q20" s="33"/>
      <c r="R20" s="38"/>
      <c r="S20" s="38"/>
      <c r="T20" s="38"/>
      <c r="U20" s="39"/>
      <c r="V20" s="39"/>
      <c r="W20" s="457"/>
      <c r="X20" s="457"/>
      <c r="Y20" s="457"/>
      <c r="Z20" s="457"/>
      <c r="AA20" s="457"/>
      <c r="AB20" s="457"/>
      <c r="AC20" s="34"/>
      <c r="AD20" s="35"/>
    </row>
    <row r="21" spans="1:32" ht="30" customHeight="1" thickBot="1" x14ac:dyDescent="0.4">
      <c r="A21" s="30"/>
      <c r="B21" s="119"/>
      <c r="C21" s="36"/>
      <c r="D21" s="439" t="str">
        <f>Taux!L4</f>
        <v>Protection de base (Option 1)</v>
      </c>
      <c r="E21" s="461"/>
      <c r="F21" s="461"/>
      <c r="G21" s="461"/>
      <c r="H21" s="461"/>
      <c r="I21" s="461"/>
      <c r="J21" s="461"/>
      <c r="K21" s="461"/>
      <c r="L21" s="440"/>
      <c r="M21" s="468"/>
      <c r="N21" s="468"/>
      <c r="O21" s="468"/>
      <c r="P21" s="33"/>
      <c r="Q21" s="33"/>
      <c r="R21" s="33"/>
      <c r="S21" s="33"/>
      <c r="T21" s="33"/>
      <c r="U21" s="39"/>
      <c r="V21" s="39"/>
      <c r="W21" s="457"/>
      <c r="X21" s="457"/>
      <c r="Y21" s="457"/>
      <c r="Z21" s="457"/>
      <c r="AA21" s="457"/>
      <c r="AB21" s="457"/>
      <c r="AC21" s="34"/>
      <c r="AD21" s="35"/>
    </row>
    <row r="22" spans="1:32" ht="3.75" customHeight="1" thickBot="1" x14ac:dyDescent="0.4">
      <c r="A22" s="30"/>
      <c r="B22" s="36"/>
      <c r="C22" s="36"/>
      <c r="D22" s="37"/>
      <c r="E22" s="37"/>
      <c r="F22" s="37"/>
      <c r="G22" s="37"/>
      <c r="H22" s="37"/>
      <c r="I22" s="37"/>
      <c r="J22" s="37"/>
      <c r="K22" s="37"/>
      <c r="L22" s="37"/>
      <c r="M22" s="468"/>
      <c r="N22" s="468"/>
      <c r="O22" s="468"/>
      <c r="P22" s="33"/>
      <c r="Q22" s="33"/>
      <c r="R22" s="33"/>
      <c r="S22" s="33"/>
      <c r="T22" s="33"/>
      <c r="U22" s="39"/>
      <c r="V22" s="39"/>
      <c r="W22" s="33"/>
      <c r="X22" s="33"/>
      <c r="Y22" s="33"/>
      <c r="Z22" s="34"/>
      <c r="AA22" s="34"/>
      <c r="AB22" s="34"/>
      <c r="AC22" s="34"/>
      <c r="AD22" s="35"/>
    </row>
    <row r="23" spans="1:32" ht="30" customHeight="1" thickBot="1" x14ac:dyDescent="0.4">
      <c r="A23" s="30"/>
      <c r="B23" s="119"/>
      <c r="C23" s="36"/>
      <c r="D23" s="439" t="str">
        <f>Taux!L5</f>
        <v>Protection enrichie (Option 2)</v>
      </c>
      <c r="E23" s="461"/>
      <c r="F23" s="461"/>
      <c r="G23" s="461"/>
      <c r="H23" s="461"/>
      <c r="I23" s="461"/>
      <c r="J23" s="461"/>
      <c r="K23" s="461"/>
      <c r="L23" s="440"/>
      <c r="M23" s="468"/>
      <c r="N23" s="468"/>
      <c r="O23" s="468"/>
      <c r="P23" s="33"/>
      <c r="Q23" s="33"/>
      <c r="R23" s="33"/>
      <c r="S23" s="33"/>
      <c r="T23" s="33"/>
      <c r="U23" s="39"/>
      <c r="V23" s="39"/>
      <c r="W23" s="33"/>
      <c r="X23" s="33"/>
      <c r="Y23" s="33"/>
      <c r="Z23" s="34"/>
      <c r="AA23" s="34"/>
      <c r="AB23" s="40" t="s">
        <v>273</v>
      </c>
      <c r="AC23" s="226">
        <f>IF(AND(M19="",W9="",W19=""),Taux!O11,0)</f>
        <v>0</v>
      </c>
      <c r="AD23" s="35"/>
      <c r="AF23" s="111"/>
    </row>
    <row r="24" spans="1:32" ht="3.75" customHeight="1" thickBot="1" x14ac:dyDescent="0.4">
      <c r="A24" s="30"/>
      <c r="B24" s="36"/>
      <c r="C24" s="36"/>
      <c r="D24" s="37"/>
      <c r="E24" s="37"/>
      <c r="F24" s="37"/>
      <c r="G24" s="37"/>
      <c r="H24" s="37"/>
      <c r="I24" s="37"/>
      <c r="J24" s="37"/>
      <c r="K24" s="37"/>
      <c r="L24" s="37"/>
      <c r="M24" s="33"/>
      <c r="N24" s="33"/>
      <c r="O24" s="33"/>
      <c r="P24" s="33"/>
      <c r="Q24" s="33"/>
      <c r="R24" s="33"/>
      <c r="S24" s="33"/>
      <c r="T24" s="33"/>
      <c r="U24" s="39"/>
      <c r="V24" s="39"/>
      <c r="W24" s="33"/>
      <c r="X24" s="33"/>
      <c r="Y24" s="33"/>
      <c r="Z24" s="34"/>
      <c r="AA24" s="34"/>
      <c r="AB24" s="40"/>
      <c r="AC24" s="122"/>
      <c r="AD24" s="35"/>
    </row>
    <row r="25" spans="1:32" ht="30" customHeight="1" thickBot="1" x14ac:dyDescent="0.3">
      <c r="A25" s="30"/>
      <c r="B25" s="33"/>
      <c r="C25" s="33"/>
      <c r="D25" s="475" t="str">
        <f>IF(COUNTIF(B9:B13,"X")&gt;0,"",IF(AND(B15="",COUNTIF(B21:B23,"X")&gt;0),"Afin de bénéficier uniquement de la couverture en soins dentaires, vous devez être couvert par votre conjoint en assurance maladie",""))</f>
        <v/>
      </c>
      <c r="E25" s="475"/>
      <c r="F25" s="475"/>
      <c r="G25" s="475"/>
      <c r="H25" s="475"/>
      <c r="I25" s="475"/>
      <c r="J25" s="475"/>
      <c r="K25" s="475"/>
      <c r="L25" s="475"/>
      <c r="M25" s="475"/>
      <c r="N25" s="475"/>
      <c r="O25" s="475"/>
      <c r="P25" s="475"/>
      <c r="Q25" s="475"/>
      <c r="R25" s="33"/>
      <c r="S25" s="33"/>
      <c r="T25" s="33"/>
      <c r="U25" s="33"/>
      <c r="V25" s="33"/>
      <c r="W25" s="33"/>
      <c r="X25" s="33"/>
      <c r="Y25" s="33"/>
      <c r="Z25" s="34"/>
      <c r="AA25" s="34"/>
      <c r="AB25" s="40" t="s">
        <v>271</v>
      </c>
      <c r="AC25" s="226">
        <f>26*AC23</f>
        <v>0</v>
      </c>
      <c r="AD25" s="35"/>
    </row>
    <row r="26" spans="1:32" ht="30" customHeight="1" x14ac:dyDescent="0.25">
      <c r="A26" s="30"/>
      <c r="B26" s="33"/>
      <c r="C26" s="33"/>
      <c r="D26" s="42"/>
      <c r="E26" s="42"/>
      <c r="F26" s="42"/>
      <c r="G26" s="42"/>
      <c r="H26" s="42"/>
      <c r="I26" s="42"/>
      <c r="J26" s="42"/>
      <c r="K26" s="42"/>
      <c r="L26" s="42"/>
      <c r="M26" s="42"/>
      <c r="N26" s="42"/>
      <c r="O26" s="42"/>
      <c r="P26" s="42"/>
      <c r="Q26" s="42"/>
      <c r="R26" s="33"/>
      <c r="S26" s="33"/>
      <c r="T26" s="33"/>
      <c r="U26" s="33"/>
      <c r="V26" s="33"/>
      <c r="W26" s="33"/>
      <c r="X26" s="33"/>
      <c r="Y26" s="33"/>
      <c r="Z26" s="34"/>
      <c r="AA26" s="34"/>
      <c r="AB26" s="40"/>
      <c r="AC26" s="341" t="str">
        <f xml:space="preserve"> IF(AC23&gt;0,"Ce cout n'inclut pas la taxe de vente de 9 %","")</f>
        <v/>
      </c>
      <c r="AD26" s="35"/>
    </row>
    <row r="27" spans="1:32" ht="3" customHeight="1" x14ac:dyDescent="0.25">
      <c r="A27" s="44"/>
      <c r="B27" s="45"/>
      <c r="C27" s="45"/>
      <c r="D27" s="45"/>
      <c r="E27" s="45"/>
      <c r="F27" s="45"/>
      <c r="G27" s="45"/>
      <c r="H27" s="45"/>
      <c r="I27" s="45"/>
      <c r="J27" s="45"/>
      <c r="K27" s="45"/>
      <c r="L27" s="45"/>
      <c r="M27" s="45"/>
      <c r="N27" s="45"/>
      <c r="O27" s="45"/>
      <c r="P27" s="45"/>
      <c r="Q27" s="45"/>
      <c r="R27" s="45"/>
      <c r="S27" s="45"/>
      <c r="T27" s="45"/>
      <c r="U27" s="45"/>
      <c r="V27" s="45"/>
      <c r="W27" s="45"/>
      <c r="X27" s="45"/>
      <c r="Y27" s="45"/>
      <c r="Z27" s="46"/>
      <c r="AA27" s="46" t="str">
        <f xml:space="preserve"> IF(AC19&gt;0,"Ce cout n'inclut pas la taxe de 9%","")</f>
        <v/>
      </c>
      <c r="AB27" s="46"/>
      <c r="AC27" s="46"/>
      <c r="AD27" s="47"/>
    </row>
    <row r="28" spans="1:32" ht="3.75" customHeight="1" x14ac:dyDescent="0.25">
      <c r="A28" s="13"/>
      <c r="B28" s="14"/>
      <c r="C28" s="14"/>
      <c r="D28" s="14"/>
      <c r="E28" s="14"/>
      <c r="F28" s="14"/>
      <c r="G28" s="14"/>
      <c r="H28" s="14"/>
      <c r="I28" s="14"/>
      <c r="J28" s="14"/>
      <c r="K28" s="14"/>
      <c r="L28" s="14"/>
      <c r="M28" s="14"/>
      <c r="N28" s="14"/>
      <c r="O28" s="14"/>
      <c r="P28" s="14"/>
      <c r="Q28" s="14"/>
      <c r="R28" s="14"/>
      <c r="S28" s="14"/>
      <c r="T28" s="14"/>
      <c r="U28" s="14"/>
      <c r="V28" s="14"/>
      <c r="W28" s="14"/>
      <c r="X28" s="14"/>
      <c r="Y28" s="14"/>
      <c r="Z28" s="48"/>
      <c r="AA28" s="48"/>
      <c r="AB28" s="48"/>
      <c r="AC28" s="48"/>
      <c r="AD28" s="15"/>
    </row>
    <row r="29" spans="1:32" ht="30" customHeight="1" thickBot="1" x14ac:dyDescent="0.4">
      <c r="A29" s="16"/>
      <c r="B29" s="49" t="s">
        <v>1</v>
      </c>
      <c r="C29" s="49"/>
      <c r="D29" s="17"/>
      <c r="E29" s="17"/>
      <c r="F29" s="50"/>
      <c r="G29" s="50"/>
      <c r="H29" s="50"/>
      <c r="I29" s="50"/>
      <c r="J29" s="50"/>
      <c r="K29" s="17"/>
      <c r="L29" s="17"/>
      <c r="M29" s="17"/>
      <c r="N29" s="22"/>
      <c r="O29" s="22"/>
      <c r="P29" s="22"/>
      <c r="Q29" s="22"/>
      <c r="R29" s="22"/>
      <c r="S29" s="22"/>
      <c r="T29" s="22"/>
      <c r="U29" s="22"/>
      <c r="V29" s="22"/>
      <c r="W29" s="17"/>
      <c r="X29" s="17"/>
      <c r="Y29" s="17"/>
      <c r="Z29" s="22"/>
      <c r="AA29" s="22"/>
      <c r="AB29" s="22"/>
      <c r="AC29" s="22"/>
      <c r="AD29" s="19"/>
    </row>
    <row r="30" spans="1:32" ht="31.5" customHeight="1" thickBot="1" x14ac:dyDescent="0.3">
      <c r="A30" s="16"/>
      <c r="B30" s="472" t="s">
        <v>354</v>
      </c>
      <c r="C30" s="472"/>
      <c r="D30" s="472"/>
      <c r="E30" s="472"/>
      <c r="F30" s="472"/>
      <c r="G30" s="472"/>
      <c r="H30" s="472"/>
      <c r="I30" s="472"/>
      <c r="J30" s="472"/>
      <c r="K30" s="472"/>
      <c r="L30" s="472"/>
      <c r="M30" s="472"/>
      <c r="N30" s="441" t="s">
        <v>338</v>
      </c>
      <c r="O30" s="441"/>
      <c r="P30" s="441"/>
      <c r="Q30" s="441"/>
      <c r="R30" s="441"/>
      <c r="S30" s="441"/>
      <c r="T30" s="441"/>
      <c r="U30" s="442"/>
      <c r="V30" s="227">
        <f>IF(COUNTBLANK(B35:B43)=8,Taux!G27,0)</f>
        <v>0</v>
      </c>
      <c r="W30" s="17"/>
      <c r="X30" s="17"/>
      <c r="Y30" s="17"/>
      <c r="Z30" s="22"/>
      <c r="AA30" s="22"/>
      <c r="AB30" s="22"/>
      <c r="AC30" s="22"/>
      <c r="AD30" s="19"/>
    </row>
    <row r="31" spans="1:32" ht="62.25" customHeight="1" x14ac:dyDescent="0.25">
      <c r="A31" s="16"/>
      <c r="B31" s="472"/>
      <c r="C31" s="472"/>
      <c r="D31" s="472"/>
      <c r="E31" s="472"/>
      <c r="F31" s="472"/>
      <c r="G31" s="472"/>
      <c r="H31" s="472"/>
      <c r="I31" s="472"/>
      <c r="J31" s="472"/>
      <c r="K31" s="472"/>
      <c r="L31" s="472"/>
      <c r="M31" s="472"/>
      <c r="N31" s="426"/>
      <c r="O31" s="426"/>
      <c r="P31" s="426"/>
      <c r="Q31" s="426"/>
      <c r="R31" s="426"/>
      <c r="S31" s="426"/>
      <c r="T31" s="426"/>
      <c r="U31" s="426"/>
      <c r="V31" s="428"/>
      <c r="W31" s="17"/>
      <c r="X31" s="17"/>
      <c r="Y31" s="17"/>
      <c r="Z31" s="22"/>
      <c r="AA31" s="22"/>
      <c r="AB31" s="22"/>
      <c r="AC31" s="22"/>
      <c r="AD31" s="19"/>
    </row>
    <row r="32" spans="1:32" ht="30" customHeight="1" x14ac:dyDescent="0.25">
      <c r="A32" s="16"/>
      <c r="B32" s="51" t="s">
        <v>111</v>
      </c>
      <c r="C32" s="51"/>
      <c r="D32" s="17"/>
      <c r="E32" s="17"/>
      <c r="F32" s="17"/>
      <c r="G32" s="17"/>
      <c r="H32" s="17"/>
      <c r="I32" s="17"/>
      <c r="J32" s="17"/>
      <c r="K32" s="17"/>
      <c r="L32" s="17"/>
      <c r="M32" s="17"/>
      <c r="N32" s="17"/>
      <c r="O32" s="17"/>
      <c r="P32" s="22"/>
      <c r="Q32" s="22"/>
      <c r="R32" s="22"/>
      <c r="S32" s="22"/>
      <c r="T32" s="22"/>
      <c r="U32" s="52"/>
      <c r="V32" s="53"/>
      <c r="W32" s="22"/>
      <c r="X32" s="17"/>
      <c r="Y32" s="17"/>
      <c r="Z32" s="22"/>
      <c r="AA32" s="22"/>
      <c r="AB32" s="22"/>
      <c r="AC32" s="22"/>
      <c r="AD32" s="19"/>
    </row>
    <row r="33" spans="1:30" ht="15" hidden="1" customHeight="1" x14ac:dyDescent="0.25">
      <c r="A33" s="16"/>
      <c r="B33" s="22"/>
      <c r="C33" s="22"/>
      <c r="D33" s="22"/>
      <c r="E33" s="22"/>
      <c r="F33" s="22"/>
      <c r="G33" s="22"/>
      <c r="H33" s="22"/>
      <c r="I33" s="22"/>
      <c r="J33" s="22"/>
      <c r="K33" s="22"/>
      <c r="L33" s="22"/>
      <c r="M33" s="22"/>
      <c r="N33" s="22"/>
      <c r="O33" s="17"/>
      <c r="P33" s="22"/>
      <c r="Q33" s="22"/>
      <c r="R33" s="22"/>
      <c r="S33" s="22"/>
      <c r="T33" s="22"/>
      <c r="U33" s="52"/>
      <c r="V33" s="17"/>
      <c r="W33" s="17"/>
      <c r="X33" s="17"/>
      <c r="Y33" s="17"/>
      <c r="Z33" s="22"/>
      <c r="AA33" s="22"/>
      <c r="AB33" s="22"/>
      <c r="AC33" s="22"/>
      <c r="AD33" s="19"/>
    </row>
    <row r="34" spans="1:30" ht="3.75" customHeight="1" thickBot="1" x14ac:dyDescent="0.3">
      <c r="A34" s="16"/>
      <c r="B34" s="223"/>
      <c r="C34" s="51"/>
      <c r="D34" s="17"/>
      <c r="E34" s="17"/>
      <c r="F34" s="17"/>
      <c r="G34" s="17"/>
      <c r="H34" s="17"/>
      <c r="I34" s="17"/>
      <c r="J34" s="17"/>
      <c r="K34" s="17"/>
      <c r="L34" s="17"/>
      <c r="M34" s="17"/>
      <c r="N34" s="17"/>
      <c r="O34" s="17"/>
      <c r="P34" s="22"/>
      <c r="Q34" s="22"/>
      <c r="R34" s="22"/>
      <c r="S34" s="22"/>
      <c r="T34" s="22"/>
      <c r="U34" s="52"/>
      <c r="V34" s="53"/>
      <c r="W34" s="22"/>
      <c r="X34" s="17"/>
      <c r="Y34" s="17"/>
      <c r="Z34" s="22"/>
      <c r="AA34" s="22"/>
      <c r="AB34" s="22"/>
      <c r="AC34" s="22"/>
      <c r="AD34" s="19"/>
    </row>
    <row r="35" spans="1:30" ht="30" customHeight="1" thickBot="1" x14ac:dyDescent="0.3">
      <c r="A35" s="16"/>
      <c r="B35" s="119"/>
      <c r="C35" s="17"/>
      <c r="D35" s="434" t="str">
        <f>Taux!B31</f>
        <v>De l'Université Laval</v>
      </c>
      <c r="E35" s="435"/>
      <c r="F35" s="435"/>
      <c r="G35" s="435"/>
      <c r="H35" s="435"/>
      <c r="I35" s="435"/>
      <c r="J35" s="435"/>
      <c r="K35" s="435"/>
      <c r="L35" s="435"/>
      <c r="M35" s="435"/>
      <c r="N35" s="436"/>
      <c r="O35" s="22"/>
      <c r="P35" s="296"/>
      <c r="Q35" s="296"/>
      <c r="R35" s="22"/>
      <c r="S35" s="22"/>
      <c r="T35" s="22"/>
      <c r="U35" s="23" t="s">
        <v>282</v>
      </c>
      <c r="V35" s="196">
        <v>0</v>
      </c>
      <c r="W35" s="22"/>
      <c r="X35" s="22"/>
      <c r="Y35" s="22"/>
      <c r="Z35" s="22"/>
      <c r="AA35" s="22"/>
      <c r="AB35" s="22"/>
      <c r="AC35" s="22"/>
      <c r="AD35" s="19"/>
    </row>
    <row r="36" spans="1:30" ht="3.75" customHeight="1" thickBot="1" x14ac:dyDescent="0.3">
      <c r="A36" s="16"/>
      <c r="B36" s="17"/>
      <c r="C36" s="17"/>
      <c r="D36" s="51"/>
      <c r="E36" s="51"/>
      <c r="F36" s="17"/>
      <c r="G36" s="17"/>
      <c r="H36" s="17"/>
      <c r="I36" s="17"/>
      <c r="J36" s="17"/>
      <c r="K36" s="17"/>
      <c r="L36" s="17"/>
      <c r="M36" s="17"/>
      <c r="N36" s="22"/>
      <c r="O36" s="296"/>
      <c r="P36" s="296"/>
      <c r="Q36" s="296"/>
      <c r="R36" s="22"/>
      <c r="S36" s="22"/>
      <c r="T36" s="22"/>
      <c r="U36" s="22"/>
      <c r="V36" s="22"/>
      <c r="W36" s="22"/>
      <c r="X36" s="22"/>
      <c r="Y36" s="22"/>
      <c r="Z36" s="22"/>
      <c r="AA36" s="22"/>
      <c r="AB36" s="22"/>
      <c r="AC36" s="22"/>
      <c r="AD36" s="19"/>
    </row>
    <row r="37" spans="1:30" ht="26.25" customHeight="1" thickBot="1" x14ac:dyDescent="0.3">
      <c r="A37" s="16"/>
      <c r="B37" s="119"/>
      <c r="C37" s="17"/>
      <c r="D37" s="434" t="str">
        <f>Taux!B32</f>
        <v>Du collège LaSalle</v>
      </c>
      <c r="E37" s="435"/>
      <c r="F37" s="435"/>
      <c r="G37" s="435"/>
      <c r="H37" s="435"/>
      <c r="I37" s="435"/>
      <c r="J37" s="435"/>
      <c r="K37" s="435"/>
      <c r="L37" s="435"/>
      <c r="M37" s="435"/>
      <c r="N37" s="436"/>
      <c r="O37" s="471" t="str">
        <f>IF(COUNTBLANK(B35:B43)&lt;8,"Il ne peut y avoir qu'un seul choix de réponse",IF(COUNTBLANK(B35:B43)=9,"Vous devez faire un choix de réponse",""))</f>
        <v>Vous devez faire un choix de réponse</v>
      </c>
      <c r="P37" s="471"/>
      <c r="Q37" s="471"/>
      <c r="R37" s="22"/>
      <c r="S37" s="22"/>
      <c r="T37" s="22"/>
      <c r="U37" s="22"/>
      <c r="V37" s="22"/>
      <c r="W37" s="22"/>
      <c r="X37" s="22"/>
      <c r="Y37" s="22"/>
      <c r="Z37" s="22"/>
      <c r="AA37" s="22"/>
      <c r="AB37" s="23" t="s">
        <v>273</v>
      </c>
      <c r="AC37" s="228">
        <f>IF(O37="",ROUND(V35/1000*V30,2),0)</f>
        <v>0</v>
      </c>
      <c r="AD37" s="19"/>
    </row>
    <row r="38" spans="1:30" ht="3.75" customHeight="1" thickBot="1" x14ac:dyDescent="0.3">
      <c r="A38" s="16"/>
      <c r="B38" s="17"/>
      <c r="C38" s="17"/>
      <c r="D38" s="51"/>
      <c r="E38" s="51"/>
      <c r="F38" s="17"/>
      <c r="G38" s="17"/>
      <c r="H38" s="17"/>
      <c r="I38" s="17"/>
      <c r="J38" s="17"/>
      <c r="K38" s="17"/>
      <c r="L38" s="17"/>
      <c r="M38" s="17"/>
      <c r="N38" s="22"/>
      <c r="O38" s="471"/>
      <c r="P38" s="471"/>
      <c r="Q38" s="471"/>
      <c r="R38" s="22"/>
      <c r="S38" s="22"/>
      <c r="T38" s="22"/>
      <c r="U38" s="22"/>
      <c r="V38" s="22"/>
      <c r="W38" s="22"/>
      <c r="X38" s="22"/>
      <c r="Y38" s="22"/>
      <c r="Z38" s="22"/>
      <c r="AA38" s="22"/>
      <c r="AB38" s="22"/>
      <c r="AC38" s="22"/>
      <c r="AD38" s="19"/>
    </row>
    <row r="39" spans="1:30" ht="30" customHeight="1" thickBot="1" x14ac:dyDescent="0.3">
      <c r="A39" s="16"/>
      <c r="B39" s="119"/>
      <c r="C39" s="17"/>
      <c r="D39" s="434" t="str">
        <f>Taux!B33</f>
        <v>Du collège Trinité</v>
      </c>
      <c r="E39" s="435"/>
      <c r="F39" s="435"/>
      <c r="G39" s="435"/>
      <c r="H39" s="435"/>
      <c r="I39" s="435"/>
      <c r="J39" s="435"/>
      <c r="K39" s="435"/>
      <c r="L39" s="435"/>
      <c r="M39" s="435"/>
      <c r="N39" s="436"/>
      <c r="O39" s="471"/>
      <c r="P39" s="471"/>
      <c r="Q39" s="471"/>
      <c r="R39" s="22"/>
      <c r="S39" s="22"/>
      <c r="T39" s="22"/>
      <c r="U39" s="22" t="s">
        <v>97</v>
      </c>
      <c r="V39" s="22"/>
      <c r="W39" s="22"/>
      <c r="X39" s="22"/>
      <c r="Y39" s="22"/>
      <c r="Z39" s="22"/>
      <c r="AA39" s="22"/>
      <c r="AB39" s="23" t="s">
        <v>271</v>
      </c>
      <c r="AC39" s="228">
        <f>AC37*26</f>
        <v>0</v>
      </c>
      <c r="AD39" s="19"/>
    </row>
    <row r="40" spans="1:30" ht="3.75" customHeight="1" thickBot="1" x14ac:dyDescent="0.3">
      <c r="A40" s="16"/>
      <c r="B40" s="17"/>
      <c r="C40" s="17"/>
      <c r="D40" s="51"/>
      <c r="E40" s="51"/>
      <c r="F40" s="17"/>
      <c r="G40" s="17"/>
      <c r="H40" s="17"/>
      <c r="I40" s="17"/>
      <c r="J40" s="17"/>
      <c r="K40" s="17"/>
      <c r="L40" s="17"/>
      <c r="M40" s="17"/>
      <c r="N40" s="22"/>
      <c r="O40" s="471"/>
      <c r="P40" s="471"/>
      <c r="Q40" s="471"/>
      <c r="R40" s="22"/>
      <c r="S40" s="22"/>
      <c r="T40" s="22"/>
      <c r="U40" s="22"/>
      <c r="V40" s="22"/>
      <c r="W40" s="22"/>
      <c r="X40" s="22"/>
      <c r="Y40" s="22"/>
      <c r="Z40" s="22"/>
      <c r="AA40" s="22"/>
      <c r="AB40" s="22"/>
      <c r="AC40" s="22"/>
      <c r="AD40" s="19"/>
    </row>
    <row r="41" spans="1:30" ht="31.5" customHeight="1" thickBot="1" x14ac:dyDescent="0.3">
      <c r="A41" s="16"/>
      <c r="B41" s="119"/>
      <c r="C41" s="17"/>
      <c r="D41" s="434" t="str">
        <f>Taux!B34</f>
        <v>De l'ITHQ ou de l'ITAQ</v>
      </c>
      <c r="E41" s="435"/>
      <c r="F41" s="435"/>
      <c r="G41" s="435"/>
      <c r="H41" s="435"/>
      <c r="I41" s="435"/>
      <c r="J41" s="435"/>
      <c r="K41" s="435"/>
      <c r="L41" s="435"/>
      <c r="M41" s="435"/>
      <c r="N41" s="436"/>
      <c r="O41" s="471"/>
      <c r="P41" s="471"/>
      <c r="Q41" s="471"/>
      <c r="R41" s="22"/>
      <c r="S41" s="22"/>
      <c r="T41" s="22"/>
      <c r="U41" s="22" t="s">
        <v>97</v>
      </c>
      <c r="V41" s="22"/>
      <c r="W41" s="22"/>
      <c r="X41" s="22"/>
      <c r="Y41" s="22"/>
      <c r="Z41" s="22"/>
      <c r="AA41" s="22"/>
      <c r="AB41" s="22"/>
      <c r="AC41" s="340" t="str">
        <f xml:space="preserve"> IF(AC37&gt;0,"Ce cout n'inclut pas la taxe de vente de 9 %","")</f>
        <v/>
      </c>
      <c r="AD41" s="19"/>
    </row>
    <row r="42" spans="1:30" ht="3.75" customHeight="1" thickBot="1" x14ac:dyDescent="0.3">
      <c r="A42" s="16"/>
      <c r="B42" s="17"/>
      <c r="C42" s="17"/>
      <c r="D42" s="51"/>
      <c r="E42" s="51"/>
      <c r="F42" s="17"/>
      <c r="G42" s="17"/>
      <c r="H42" s="17"/>
      <c r="I42" s="17"/>
      <c r="J42" s="17"/>
      <c r="K42" s="17"/>
      <c r="L42" s="17"/>
      <c r="M42" s="17"/>
      <c r="N42" s="22"/>
      <c r="O42" s="296"/>
      <c r="P42" s="296"/>
      <c r="Q42" s="296"/>
      <c r="R42" s="22"/>
      <c r="S42" s="22"/>
      <c r="T42" s="22"/>
      <c r="U42" s="22"/>
      <c r="V42" s="22"/>
      <c r="W42" s="22"/>
      <c r="X42" s="22"/>
      <c r="Y42" s="22"/>
      <c r="Z42" s="22"/>
      <c r="AA42" s="22"/>
      <c r="AB42" s="22"/>
      <c r="AC42" s="22"/>
      <c r="AD42" s="19"/>
    </row>
    <row r="43" spans="1:30" ht="25.5" customHeight="1" thickBot="1" x14ac:dyDescent="0.3">
      <c r="A43" s="16"/>
      <c r="B43" s="119"/>
      <c r="C43" s="17"/>
      <c r="D43" s="434" t="str">
        <f>Taux!B35</f>
        <v>D'un autre collège ou d'une autre université</v>
      </c>
      <c r="E43" s="435"/>
      <c r="F43" s="435"/>
      <c r="G43" s="435"/>
      <c r="H43" s="435"/>
      <c r="I43" s="435"/>
      <c r="J43" s="435"/>
      <c r="K43" s="435"/>
      <c r="L43" s="435"/>
      <c r="M43" s="435"/>
      <c r="N43" s="436"/>
      <c r="O43" s="296"/>
      <c r="P43" s="296"/>
      <c r="Q43" s="296"/>
      <c r="R43" s="22"/>
      <c r="S43" s="22"/>
      <c r="T43" s="22"/>
      <c r="U43" s="22"/>
      <c r="V43" s="22"/>
      <c r="W43" s="22"/>
      <c r="X43" s="22"/>
      <c r="Y43" s="22"/>
      <c r="Z43" s="22"/>
      <c r="AA43" s="22"/>
      <c r="AB43" s="22"/>
      <c r="AC43" s="22"/>
      <c r="AD43" s="19"/>
    </row>
    <row r="44" spans="1:30" ht="3.75" customHeight="1" x14ac:dyDescent="0.25">
      <c r="A44" s="16"/>
      <c r="B44" s="17"/>
      <c r="C44" s="17"/>
      <c r="D44" s="51"/>
      <c r="E44" s="51"/>
      <c r="F44" s="17"/>
      <c r="G44" s="17"/>
      <c r="H44" s="17"/>
      <c r="I44" s="17"/>
      <c r="J44" s="17"/>
      <c r="K44" s="17"/>
      <c r="L44" s="17"/>
      <c r="M44" s="17"/>
      <c r="N44" s="22"/>
      <c r="O44" s="296"/>
      <c r="P44" s="296"/>
      <c r="Q44" s="296"/>
      <c r="R44" s="22"/>
      <c r="S44" s="22"/>
      <c r="T44" s="22"/>
      <c r="U44" s="22"/>
      <c r="V44" s="22"/>
      <c r="W44" s="22"/>
      <c r="X44" s="22"/>
      <c r="Y44" s="22"/>
      <c r="Z44" s="22"/>
      <c r="AA44" s="22"/>
      <c r="AB44" s="22"/>
      <c r="AC44" s="22"/>
      <c r="AD44" s="19"/>
    </row>
    <row r="45" spans="1:30" ht="3.75" customHeight="1" x14ac:dyDescent="0.25">
      <c r="A45" s="54"/>
      <c r="B45" s="55"/>
      <c r="C45" s="55"/>
      <c r="D45" s="55"/>
      <c r="E45" s="55"/>
      <c r="F45" s="55"/>
      <c r="G45" s="55"/>
      <c r="H45" s="55"/>
      <c r="I45" s="55"/>
      <c r="J45" s="55"/>
      <c r="K45" s="55"/>
      <c r="L45" s="55"/>
      <c r="M45" s="55"/>
      <c r="N45" s="55"/>
      <c r="O45" s="55"/>
      <c r="P45" s="55"/>
      <c r="Q45" s="55"/>
      <c r="R45" s="55"/>
      <c r="S45" s="55"/>
      <c r="T45" s="55"/>
      <c r="U45" s="55"/>
      <c r="V45" s="56"/>
      <c r="W45" s="56"/>
      <c r="X45" s="56"/>
      <c r="Y45" s="56"/>
      <c r="Z45" s="56"/>
      <c r="AA45" s="56"/>
      <c r="AB45" s="56"/>
      <c r="AC45" s="56"/>
      <c r="AD45" s="57"/>
    </row>
    <row r="46" spans="1:30" ht="30" customHeight="1" thickBot="1" x14ac:dyDescent="0.4">
      <c r="A46" s="25"/>
      <c r="B46" s="26" t="s">
        <v>2</v>
      </c>
      <c r="C46" s="26"/>
      <c r="D46" s="27"/>
      <c r="E46" s="27"/>
      <c r="F46" s="58"/>
      <c r="G46" s="58"/>
      <c r="H46" s="58"/>
      <c r="I46" s="58"/>
      <c r="J46" s="58"/>
      <c r="K46" s="27"/>
      <c r="L46" s="27"/>
      <c r="M46" s="27"/>
      <c r="N46" s="27"/>
      <c r="O46" s="27"/>
      <c r="P46" s="195"/>
      <c r="Q46" s="195"/>
      <c r="R46" s="195"/>
      <c r="S46" s="195"/>
      <c r="T46" s="195"/>
      <c r="U46" s="195"/>
      <c r="V46" s="27"/>
      <c r="W46" s="27"/>
      <c r="X46" s="27"/>
      <c r="Y46" s="27"/>
      <c r="Z46" s="27"/>
      <c r="AA46" s="28"/>
      <c r="AB46" s="28"/>
      <c r="AC46" s="28"/>
      <c r="AD46" s="29"/>
    </row>
    <row r="47" spans="1:30" ht="30" customHeight="1" thickBot="1" x14ac:dyDescent="0.4">
      <c r="A47" s="30"/>
      <c r="B47" s="33" t="s">
        <v>90</v>
      </c>
      <c r="C47" s="31"/>
      <c r="D47" s="33"/>
      <c r="E47" s="33"/>
      <c r="F47" s="59"/>
      <c r="G47" s="59"/>
      <c r="H47" s="59"/>
      <c r="I47" s="59"/>
      <c r="J47" s="59"/>
      <c r="K47" s="33"/>
      <c r="L47" s="33"/>
      <c r="M47" s="33"/>
      <c r="N47" s="473" t="s">
        <v>320</v>
      </c>
      <c r="O47" s="473"/>
      <c r="P47" s="473"/>
      <c r="Q47" s="473"/>
      <c r="R47" s="473"/>
      <c r="S47" s="473"/>
      <c r="T47" s="473"/>
      <c r="U47" s="474"/>
      <c r="V47" s="229">
        <f>Taux!I33</f>
        <v>0</v>
      </c>
      <c r="W47" s="33"/>
      <c r="X47" s="33"/>
      <c r="Y47" s="33"/>
      <c r="Z47" s="33"/>
      <c r="AA47" s="34"/>
      <c r="AB47" s="34"/>
      <c r="AC47" s="34"/>
      <c r="AD47" s="35"/>
    </row>
    <row r="48" spans="1:30" ht="30" customHeight="1" thickBot="1" x14ac:dyDescent="0.3">
      <c r="A48" s="30"/>
      <c r="B48" s="119"/>
      <c r="C48" s="33"/>
      <c r="D48" s="469" t="str">
        <f>Taux!I28</f>
        <v>Oui</v>
      </c>
      <c r="E48" s="470"/>
      <c r="F48" s="444" t="str">
        <f>IF(COUNTBLANK(B48:B50)&lt;2,"Il ne peut y avoir qu'un seul choix de réponse",IF(COUNTBLANK(B48:B50)=3,"Vous devez faire un choix de réponse",""))</f>
        <v>Vous devez faire un choix de réponse</v>
      </c>
      <c r="G48" s="444"/>
      <c r="H48" s="444"/>
      <c r="I48" s="444"/>
      <c r="J48" s="444"/>
      <c r="K48" s="444"/>
      <c r="L48" s="33"/>
      <c r="M48" s="33"/>
      <c r="N48" s="33"/>
      <c r="O48" s="33"/>
      <c r="P48" s="110"/>
      <c r="Q48" s="110"/>
      <c r="R48" s="110"/>
      <c r="S48" s="110"/>
      <c r="T48" s="110"/>
      <c r="U48" s="60"/>
      <c r="V48" s="33"/>
      <c r="W48" s="61"/>
      <c r="X48" s="33"/>
      <c r="Y48" s="33"/>
      <c r="Z48" s="34"/>
      <c r="AA48" s="34"/>
      <c r="AB48" s="34"/>
      <c r="AC48" s="34"/>
      <c r="AD48" s="35"/>
    </row>
    <row r="49" spans="1:205" ht="3.75" customHeight="1" thickBot="1" x14ac:dyDescent="0.3">
      <c r="A49" s="30"/>
      <c r="B49" s="34"/>
      <c r="C49" s="33"/>
      <c r="D49" s="33"/>
      <c r="E49" s="33"/>
      <c r="F49" s="444"/>
      <c r="G49" s="444"/>
      <c r="H49" s="444"/>
      <c r="I49" s="444"/>
      <c r="J49" s="444"/>
      <c r="K49" s="444"/>
      <c r="L49" s="33"/>
      <c r="M49" s="33"/>
      <c r="N49" s="33"/>
      <c r="O49" s="33"/>
      <c r="P49" s="33"/>
      <c r="Q49" s="33"/>
      <c r="R49" s="33"/>
      <c r="S49" s="33"/>
      <c r="T49" s="33"/>
      <c r="U49" s="33"/>
      <c r="V49" s="33"/>
      <c r="W49" s="61"/>
      <c r="X49" s="33"/>
      <c r="Y49" s="33"/>
      <c r="Z49" s="34"/>
      <c r="AA49" s="34"/>
      <c r="AB49" s="34"/>
      <c r="AC49" s="34"/>
      <c r="AD49" s="35"/>
    </row>
    <row r="50" spans="1:205" ht="30" customHeight="1" thickBot="1" x14ac:dyDescent="0.3">
      <c r="A50" s="30"/>
      <c r="B50" s="119"/>
      <c r="C50" s="33"/>
      <c r="D50" s="469" t="str">
        <f>Taux!I29</f>
        <v>Non</v>
      </c>
      <c r="E50" s="470"/>
      <c r="F50" s="444"/>
      <c r="G50" s="444"/>
      <c r="H50" s="444"/>
      <c r="I50" s="444"/>
      <c r="J50" s="444"/>
      <c r="K50" s="444"/>
      <c r="L50" s="33"/>
      <c r="M50" s="33"/>
      <c r="N50" s="33"/>
      <c r="O50" s="33"/>
      <c r="P50" s="61"/>
      <c r="Q50" s="61"/>
      <c r="R50" s="61"/>
      <c r="S50" s="33"/>
      <c r="T50" s="33"/>
      <c r="U50" s="197" t="s">
        <v>341</v>
      </c>
      <c r="V50" s="196">
        <f>V35</f>
        <v>0</v>
      </c>
      <c r="W50" s="63"/>
      <c r="X50" s="33"/>
      <c r="Y50" s="33"/>
      <c r="Z50" s="34"/>
      <c r="AA50" s="34"/>
      <c r="AB50" s="40" t="s">
        <v>273</v>
      </c>
      <c r="AC50" s="226">
        <f>IF(F48="",ROUND(V50/1000*V47,2),0)</f>
        <v>0</v>
      </c>
      <c r="AD50" s="35"/>
      <c r="AF50" s="105"/>
    </row>
    <row r="51" spans="1:205" ht="3.75" customHeight="1" x14ac:dyDescent="0.25">
      <c r="A51" s="30"/>
      <c r="B51" s="34"/>
      <c r="C51" s="33"/>
      <c r="D51" s="33"/>
      <c r="E51" s="33"/>
      <c r="F51" s="33"/>
      <c r="G51" s="33"/>
      <c r="H51" s="33"/>
      <c r="I51" s="33"/>
      <c r="J51" s="33"/>
      <c r="K51" s="33"/>
      <c r="L51" s="33"/>
      <c r="M51" s="33"/>
      <c r="N51" s="33"/>
      <c r="O51" s="33"/>
      <c r="P51" s="33"/>
      <c r="Q51" s="33"/>
      <c r="R51" s="33"/>
      <c r="S51" s="33"/>
      <c r="T51" s="33"/>
      <c r="U51" s="33"/>
      <c r="V51" s="33"/>
      <c r="W51" s="61"/>
      <c r="X51" s="33"/>
      <c r="Y51" s="33"/>
      <c r="Z51" s="34"/>
      <c r="AA51" s="34"/>
      <c r="AB51" s="34"/>
      <c r="AC51" s="40"/>
      <c r="AD51" s="35"/>
    </row>
    <row r="52" spans="1:205" ht="30" customHeight="1" thickBot="1" x14ac:dyDescent="0.3">
      <c r="A52" s="30"/>
      <c r="B52" s="481" t="s">
        <v>104</v>
      </c>
      <c r="C52" s="481"/>
      <c r="D52" s="481"/>
      <c r="E52" s="481"/>
      <c r="F52" s="481"/>
      <c r="G52" s="481"/>
      <c r="H52" s="481"/>
      <c r="I52" s="481"/>
      <c r="J52" s="481"/>
      <c r="K52" s="481"/>
      <c r="L52" s="481"/>
      <c r="M52" s="481"/>
      <c r="N52" s="481"/>
      <c r="O52" s="481"/>
      <c r="P52" s="481"/>
      <c r="Q52" s="481"/>
      <c r="R52" s="62"/>
      <c r="S52" s="62"/>
      <c r="T52" s="62"/>
      <c r="U52" s="62"/>
      <c r="V52" s="63"/>
      <c r="W52" s="63"/>
      <c r="X52" s="63"/>
      <c r="Y52" s="33"/>
      <c r="Z52" s="34"/>
      <c r="AA52" s="34"/>
      <c r="AB52" s="40" t="s">
        <v>271</v>
      </c>
      <c r="AC52" s="230">
        <f>26*AC50</f>
        <v>0</v>
      </c>
      <c r="AD52" s="35"/>
    </row>
    <row r="53" spans="1:205" ht="30" customHeight="1" x14ac:dyDescent="0.25">
      <c r="A53" s="44"/>
      <c r="B53" s="482" t="s">
        <v>107</v>
      </c>
      <c r="C53" s="482"/>
      <c r="D53" s="482"/>
      <c r="E53" s="482"/>
      <c r="F53" s="482"/>
      <c r="G53" s="482"/>
      <c r="H53" s="482"/>
      <c r="I53" s="482"/>
      <c r="J53" s="482"/>
      <c r="K53" s="482"/>
      <c r="L53" s="482"/>
      <c r="M53" s="482"/>
      <c r="N53" s="482"/>
      <c r="O53" s="482"/>
      <c r="P53" s="482"/>
      <c r="Q53" s="482"/>
      <c r="R53" s="45"/>
      <c r="S53" s="45"/>
      <c r="T53" s="45"/>
      <c r="U53" s="45"/>
      <c r="V53" s="45"/>
      <c r="W53" s="45"/>
      <c r="X53" s="45"/>
      <c r="Y53" s="45"/>
      <c r="Z53" s="46"/>
      <c r="AA53" s="46"/>
      <c r="AB53" s="46"/>
      <c r="AC53" s="343" t="str">
        <f xml:space="preserve"> IF(AC50&gt;0,"Ce cout tient compte d'un congé de prime de 9,2%, mais n'inclut pas la taxe de vente de 9 %","")</f>
        <v/>
      </c>
      <c r="AD53" s="47"/>
    </row>
    <row r="54" spans="1:205" ht="3.75" customHeight="1" x14ac:dyDescent="0.25">
      <c r="A54" s="13"/>
      <c r="B54" s="65"/>
      <c r="C54" s="65"/>
      <c r="D54" s="65"/>
      <c r="E54" s="65"/>
      <c r="F54" s="65"/>
      <c r="G54" s="65"/>
      <c r="H54" s="65"/>
      <c r="I54" s="65"/>
      <c r="J54" s="65"/>
      <c r="K54" s="65"/>
      <c r="L54" s="65"/>
      <c r="M54" s="65"/>
      <c r="N54" s="65"/>
      <c r="O54" s="65"/>
      <c r="P54" s="65"/>
      <c r="Q54" s="65"/>
      <c r="R54" s="14"/>
      <c r="S54" s="14"/>
      <c r="T54" s="14"/>
      <c r="U54" s="14"/>
      <c r="V54" s="14"/>
      <c r="W54" s="14"/>
      <c r="X54" s="14"/>
      <c r="Y54" s="14"/>
      <c r="Z54" s="48"/>
      <c r="AA54" s="48"/>
      <c r="AB54" s="48"/>
      <c r="AC54" s="48"/>
      <c r="AD54" s="15"/>
    </row>
    <row r="55" spans="1:205" s="66" customFormat="1" ht="30" customHeight="1" x14ac:dyDescent="0.35">
      <c r="A55" s="16"/>
      <c r="B55" s="49" t="s">
        <v>4</v>
      </c>
      <c r="C55" s="49"/>
      <c r="D55" s="17"/>
      <c r="E55" s="17"/>
      <c r="F55" s="17"/>
      <c r="G55" s="17"/>
      <c r="H55" s="17"/>
      <c r="I55" s="17"/>
      <c r="J55" s="17"/>
      <c r="K55" s="17"/>
      <c r="L55" s="17"/>
      <c r="M55" s="17"/>
      <c r="N55" s="17"/>
      <c r="O55" s="17"/>
      <c r="P55" s="17"/>
      <c r="Q55" s="51" t="s">
        <v>106</v>
      </c>
      <c r="R55" s="17"/>
      <c r="S55" s="51"/>
      <c r="T55" s="51"/>
      <c r="U55" s="22"/>
      <c r="V55" s="22"/>
      <c r="W55" s="22"/>
      <c r="X55" s="22"/>
      <c r="Y55" s="22"/>
      <c r="Z55" s="22"/>
      <c r="AA55" s="22"/>
      <c r="AB55" s="22"/>
      <c r="AC55" s="22"/>
      <c r="AD55" s="19"/>
      <c r="AE55"/>
      <c r="AF55"/>
      <c r="AG55"/>
      <c r="AH55"/>
      <c r="AI55"/>
      <c r="AJ55"/>
      <c r="AK55"/>
      <c r="AL55"/>
      <c r="AM55"/>
      <c r="AN55"/>
      <c r="AO55"/>
      <c r="AP55"/>
      <c r="AQ55"/>
      <c r="AR55"/>
      <c r="AS55"/>
      <c r="AT55"/>
      <c r="AU55"/>
      <c r="AV55"/>
      <c r="AW55"/>
      <c r="AX55"/>
      <c r="AY55"/>
      <c r="AZ55"/>
      <c r="BA55"/>
      <c r="BB55"/>
      <c r="BC55"/>
      <c r="BD55"/>
      <c r="BE55"/>
      <c r="BF55"/>
      <c r="BG55"/>
      <c r="BH55"/>
      <c r="BI55"/>
      <c r="BJ55"/>
      <c r="BK55"/>
      <c r="BL55"/>
      <c r="BM55"/>
      <c r="BN55"/>
      <c r="BO55"/>
      <c r="BP55"/>
      <c r="BQ55"/>
      <c r="BR55"/>
      <c r="BS55"/>
      <c r="BT55"/>
      <c r="BU55"/>
      <c r="BV55"/>
      <c r="BW55"/>
      <c r="BX55"/>
      <c r="BY55"/>
      <c r="BZ55"/>
      <c r="CA55"/>
      <c r="CB55"/>
      <c r="CC55"/>
      <c r="CD55"/>
      <c r="CE55"/>
      <c r="CF55"/>
      <c r="CG55"/>
      <c r="CH55"/>
      <c r="CI55"/>
      <c r="CJ55"/>
      <c r="CK55"/>
      <c r="CL55"/>
      <c r="CM55"/>
      <c r="CN55"/>
      <c r="CO55"/>
      <c r="CP55"/>
      <c r="CQ55"/>
      <c r="CR55"/>
      <c r="CS55"/>
      <c r="CT55"/>
      <c r="CU55"/>
      <c r="CV55"/>
      <c r="CW55"/>
      <c r="CX55"/>
      <c r="CY55"/>
      <c r="CZ55"/>
      <c r="DA55"/>
      <c r="DB55"/>
      <c r="DC55"/>
      <c r="DD55"/>
      <c r="DE55"/>
      <c r="DF55"/>
      <c r="DG55"/>
      <c r="DH55"/>
      <c r="DI55"/>
      <c r="DJ55"/>
      <c r="DK55"/>
      <c r="DL55"/>
      <c r="DM55"/>
      <c r="DN55"/>
      <c r="DO55"/>
      <c r="DP55"/>
      <c r="DQ55"/>
      <c r="DR55"/>
      <c r="DS55"/>
      <c r="DT55"/>
      <c r="DU55"/>
      <c r="DV55"/>
      <c r="DW55"/>
      <c r="DX55"/>
      <c r="DY55"/>
      <c r="DZ55"/>
      <c r="EA55"/>
      <c r="EB55"/>
      <c r="EC55"/>
      <c r="ED55"/>
      <c r="EE55"/>
      <c r="EF55"/>
      <c r="EG55"/>
      <c r="EH55"/>
      <c r="EI55"/>
      <c r="EJ55"/>
      <c r="EK55"/>
      <c r="EL55"/>
      <c r="EM55"/>
      <c r="EN55"/>
      <c r="EO55"/>
      <c r="EP55"/>
      <c r="EQ55"/>
      <c r="ER55"/>
      <c r="ES55"/>
      <c r="ET55"/>
      <c r="EU55"/>
      <c r="EV55"/>
      <c r="EW55"/>
      <c r="EX55"/>
      <c r="EY55"/>
      <c r="EZ55"/>
      <c r="FA55"/>
      <c r="FB55"/>
      <c r="FC55"/>
      <c r="FD55"/>
      <c r="FE55"/>
      <c r="FF55"/>
      <c r="FG55"/>
      <c r="FH55"/>
      <c r="FI55"/>
      <c r="FJ55"/>
      <c r="FK55"/>
      <c r="FL55"/>
      <c r="FM55"/>
      <c r="FN55"/>
      <c r="FO55"/>
      <c r="FP55"/>
      <c r="FQ55"/>
      <c r="FR55"/>
      <c r="FS55"/>
      <c r="FT55"/>
      <c r="FU55"/>
      <c r="FV55"/>
      <c r="FW55"/>
      <c r="FX55"/>
      <c r="FY55"/>
      <c r="FZ55"/>
      <c r="GA55"/>
      <c r="GB55"/>
      <c r="GC55"/>
      <c r="GD55"/>
      <c r="GE55"/>
      <c r="GF55"/>
      <c r="GG55"/>
      <c r="GH55"/>
      <c r="GI55"/>
      <c r="GJ55"/>
      <c r="GK55"/>
      <c r="GL55"/>
      <c r="GM55"/>
      <c r="GN55"/>
      <c r="GO55"/>
      <c r="GP55"/>
      <c r="GQ55"/>
      <c r="GR55"/>
      <c r="GS55"/>
      <c r="GT55"/>
      <c r="GU55"/>
      <c r="GV55"/>
      <c r="GW55"/>
    </row>
    <row r="56" spans="1:205" s="66" customFormat="1" ht="3.75" customHeight="1" thickBot="1" x14ac:dyDescent="0.4">
      <c r="A56" s="16"/>
      <c r="B56" s="49"/>
      <c r="C56" s="49"/>
      <c r="D56" s="17"/>
      <c r="E56" s="17"/>
      <c r="F56" s="17"/>
      <c r="G56" s="17"/>
      <c r="H56" s="17"/>
      <c r="I56" s="17"/>
      <c r="J56" s="17"/>
      <c r="K56" s="17"/>
      <c r="L56" s="17"/>
      <c r="M56" s="17"/>
      <c r="N56" s="17"/>
      <c r="O56" s="17"/>
      <c r="P56" s="17"/>
      <c r="Q56" s="17"/>
      <c r="R56" s="17"/>
      <c r="S56" s="22"/>
      <c r="T56" s="22"/>
      <c r="U56" s="22"/>
      <c r="V56" s="22"/>
      <c r="W56" s="17"/>
      <c r="X56" s="17"/>
      <c r="Y56" s="17"/>
      <c r="Z56" s="17"/>
      <c r="AA56" s="22"/>
      <c r="AB56" s="22"/>
      <c r="AC56" s="22"/>
      <c r="AD56" s="19"/>
      <c r="AE56"/>
      <c r="AF56"/>
      <c r="AG56"/>
      <c r="AH56"/>
      <c r="AI56"/>
      <c r="AJ56"/>
      <c r="AK56"/>
      <c r="AL56"/>
      <c r="AM56"/>
      <c r="AN56"/>
      <c r="AO56"/>
      <c r="AP56"/>
      <c r="AQ56"/>
      <c r="AR56"/>
      <c r="AS56"/>
      <c r="AT56"/>
      <c r="AU56"/>
      <c r="AV56"/>
      <c r="AW56"/>
      <c r="AX56"/>
      <c r="AY56"/>
      <c r="AZ56"/>
      <c r="BA56"/>
      <c r="BB56"/>
      <c r="BC56"/>
      <c r="BD56"/>
      <c r="BE56"/>
      <c r="BF56"/>
      <c r="BG56"/>
      <c r="BH56"/>
      <c r="BI56"/>
      <c r="BJ56"/>
      <c r="BK56"/>
      <c r="BL56"/>
      <c r="BM56"/>
      <c r="BN56"/>
      <c r="BO56"/>
      <c r="BP56"/>
      <c r="BQ56"/>
      <c r="BR56"/>
      <c r="BS56"/>
      <c r="BT56"/>
      <c r="BU56"/>
      <c r="BV56"/>
      <c r="BW56"/>
      <c r="BX56"/>
      <c r="BY56"/>
      <c r="BZ56"/>
      <c r="CA56"/>
      <c r="CB56"/>
      <c r="CC56"/>
      <c r="CD56"/>
      <c r="CE56"/>
      <c r="CF56"/>
      <c r="CG56"/>
      <c r="CH56"/>
      <c r="CI56"/>
      <c r="CJ56"/>
      <c r="CK56"/>
      <c r="CL56"/>
      <c r="CM56"/>
      <c r="CN56"/>
      <c r="CO56"/>
      <c r="CP56"/>
      <c r="CQ56"/>
      <c r="CR56"/>
      <c r="CS56"/>
      <c r="CT56"/>
      <c r="CU56"/>
      <c r="CV56"/>
      <c r="CW56"/>
      <c r="CX56"/>
      <c r="CY56"/>
      <c r="CZ56"/>
      <c r="DA56"/>
      <c r="DB56"/>
      <c r="DC56"/>
      <c r="DD56"/>
      <c r="DE56"/>
      <c r="DF56"/>
      <c r="DG56"/>
      <c r="DH56"/>
      <c r="DI56"/>
      <c r="DJ56"/>
      <c r="DK56"/>
      <c r="DL56"/>
      <c r="DM56"/>
      <c r="DN56"/>
      <c r="DO56"/>
      <c r="DP56"/>
      <c r="DQ56"/>
      <c r="DR56"/>
      <c r="DS56"/>
      <c r="DT56"/>
      <c r="DU56"/>
      <c r="DV56"/>
      <c r="DW56"/>
      <c r="DX56"/>
      <c r="DY56"/>
      <c r="DZ56"/>
      <c r="EA56"/>
      <c r="EB56"/>
      <c r="EC56"/>
      <c r="ED56"/>
      <c r="EE56"/>
      <c r="EF56"/>
      <c r="EG56"/>
      <c r="EH56"/>
      <c r="EI56"/>
      <c r="EJ56"/>
      <c r="EK56"/>
      <c r="EL56"/>
      <c r="EM56"/>
      <c r="EN56"/>
      <c r="EO56"/>
      <c r="EP56"/>
      <c r="EQ56"/>
      <c r="ER56"/>
      <c r="ES56"/>
      <c r="ET56"/>
      <c r="EU56"/>
      <c r="EV56"/>
      <c r="EW56"/>
      <c r="EX56"/>
      <c r="EY56"/>
      <c r="EZ56"/>
      <c r="FA56"/>
      <c r="FB56"/>
      <c r="FC56"/>
      <c r="FD56"/>
      <c r="FE56"/>
      <c r="FF56"/>
      <c r="FG56"/>
      <c r="FH56"/>
      <c r="FI56"/>
      <c r="FJ56"/>
      <c r="FK56"/>
      <c r="FL56"/>
      <c r="FM56"/>
      <c r="FN56"/>
      <c r="FO56"/>
      <c r="FP56"/>
      <c r="FQ56"/>
      <c r="FR56"/>
      <c r="FS56"/>
      <c r="FT56"/>
      <c r="FU56"/>
      <c r="FV56"/>
      <c r="FW56"/>
      <c r="FX56"/>
      <c r="FY56"/>
      <c r="FZ56"/>
      <c r="GA56"/>
      <c r="GB56"/>
      <c r="GC56"/>
      <c r="GD56"/>
      <c r="GE56"/>
      <c r="GF56"/>
      <c r="GG56"/>
      <c r="GH56"/>
      <c r="GI56"/>
      <c r="GJ56"/>
      <c r="GK56"/>
      <c r="GL56"/>
      <c r="GM56"/>
      <c r="GN56"/>
      <c r="GO56"/>
      <c r="GP56"/>
      <c r="GQ56"/>
      <c r="GR56"/>
      <c r="GS56"/>
      <c r="GT56"/>
      <c r="GU56"/>
      <c r="GV56"/>
      <c r="GW56"/>
    </row>
    <row r="57" spans="1:205" s="66" customFormat="1" ht="30" customHeight="1" thickBot="1" x14ac:dyDescent="0.3">
      <c r="A57" s="16"/>
      <c r="B57" s="67" t="s">
        <v>170</v>
      </c>
      <c r="C57" s="67"/>
      <c r="D57" s="17"/>
      <c r="E57" s="17"/>
      <c r="F57" s="17"/>
      <c r="G57" s="17"/>
      <c r="H57" s="17"/>
      <c r="I57" s="17"/>
      <c r="J57" s="17"/>
      <c r="K57" s="17"/>
      <c r="L57" s="17"/>
      <c r="M57" s="17"/>
      <c r="N57" s="17"/>
      <c r="O57" s="17"/>
      <c r="P57" s="17"/>
      <c r="Q57" s="119"/>
      <c r="R57" s="17"/>
      <c r="S57" s="434" t="str">
        <f>IF(Taux!R19=Taux!R15,Taux!N18,IF(Taux!R19=Taux!R16,Taux!N17,Taux!N16))</f>
        <v>Une fois le salaire annuel</v>
      </c>
      <c r="T57" s="435"/>
      <c r="U57" s="435"/>
      <c r="V57" s="435"/>
      <c r="W57" s="436"/>
      <c r="X57" s="430" t="str">
        <f>IF(COUNTBLANK(Q57:Q59)&lt;2,"Il ne peut y avoir qu'un seul choix de réponse",IF(COUNTBLANK(Q57:Q59)=3,"Vous devez faire un choix de réponse",""))</f>
        <v>Vous devez faire un choix de réponse</v>
      </c>
      <c r="Y57" s="430"/>
      <c r="Z57" s="68"/>
      <c r="AA57" s="22"/>
      <c r="AB57" s="22"/>
      <c r="AC57" s="22"/>
      <c r="AD57" s="19"/>
      <c r="AE57"/>
      <c r="AF57"/>
      <c r="AG57"/>
      <c r="AH57"/>
      <c r="AI57"/>
      <c r="AJ57"/>
      <c r="AK57"/>
      <c r="AL57"/>
      <c r="AM57"/>
      <c r="AN57"/>
      <c r="AO57"/>
      <c r="AP57"/>
      <c r="AQ57"/>
      <c r="AR57"/>
      <c r="AS57"/>
      <c r="AT57"/>
      <c r="AU57"/>
      <c r="AV57"/>
      <c r="AW57"/>
      <c r="AX57"/>
      <c r="AY57"/>
      <c r="AZ57"/>
      <c r="BA57"/>
      <c r="BB57"/>
      <c r="BC57"/>
      <c r="BD57"/>
      <c r="BE57"/>
      <c r="BF57"/>
      <c r="BG57"/>
      <c r="BH57"/>
      <c r="BI57"/>
      <c r="BJ57"/>
      <c r="BK57"/>
      <c r="BL57"/>
      <c r="BM57"/>
      <c r="BN57"/>
      <c r="BO57"/>
      <c r="BP57"/>
      <c r="BQ57"/>
      <c r="BR57"/>
      <c r="BS57"/>
      <c r="BT57"/>
      <c r="BU57"/>
      <c r="BV57"/>
      <c r="BW57"/>
      <c r="BX57"/>
      <c r="BY57"/>
      <c r="BZ57"/>
      <c r="CA57"/>
      <c r="CB57"/>
      <c r="CC57"/>
      <c r="CD57"/>
      <c r="CE57"/>
      <c r="CF57"/>
      <c r="CG57"/>
      <c r="CH57"/>
      <c r="CI57"/>
      <c r="CJ57"/>
      <c r="CK57"/>
      <c r="CL57"/>
      <c r="CM57"/>
      <c r="CN57"/>
      <c r="CO57"/>
      <c r="CP57"/>
      <c r="CQ57"/>
      <c r="CR57"/>
      <c r="CS57"/>
      <c r="CT57"/>
      <c r="CU57"/>
      <c r="CV57"/>
      <c r="CW57"/>
      <c r="CX57"/>
      <c r="CY57"/>
      <c r="CZ57"/>
      <c r="DA57"/>
      <c r="DB57"/>
      <c r="DC57"/>
      <c r="DD57"/>
      <c r="DE57"/>
      <c r="DF57"/>
      <c r="DG57"/>
      <c r="DH57"/>
      <c r="DI57"/>
      <c r="DJ57"/>
      <c r="DK57"/>
      <c r="DL57"/>
      <c r="DM57"/>
      <c r="DN57"/>
      <c r="DO57"/>
      <c r="DP57"/>
      <c r="DQ57"/>
      <c r="DR57"/>
      <c r="DS57"/>
      <c r="DT57"/>
      <c r="DU57"/>
      <c r="DV57"/>
      <c r="DW57"/>
      <c r="DX57"/>
      <c r="DY57"/>
      <c r="DZ57"/>
      <c r="EA57"/>
      <c r="EB57"/>
      <c r="EC57"/>
      <c r="ED57"/>
      <c r="EE57"/>
      <c r="EF57"/>
      <c r="EG57"/>
      <c r="EH57"/>
      <c r="EI57"/>
      <c r="EJ57"/>
      <c r="EK57"/>
      <c r="EL57"/>
      <c r="EM57"/>
      <c r="EN57"/>
      <c r="EO57"/>
      <c r="EP57"/>
      <c r="EQ57"/>
      <c r="ER57"/>
      <c r="ES57"/>
      <c r="ET57"/>
      <c r="EU57"/>
      <c r="EV57"/>
      <c r="EW57"/>
      <c r="EX57"/>
      <c r="EY57"/>
      <c r="EZ57"/>
      <c r="FA57"/>
      <c r="FB57"/>
      <c r="FC57"/>
      <c r="FD57"/>
      <c r="FE57"/>
      <c r="FF57"/>
      <c r="FG57"/>
      <c r="FH57"/>
      <c r="FI57"/>
      <c r="FJ57"/>
      <c r="FK57"/>
      <c r="FL57"/>
      <c r="FM57"/>
      <c r="FN57"/>
      <c r="FO57"/>
      <c r="FP57"/>
      <c r="FQ57"/>
      <c r="FR57"/>
      <c r="FS57"/>
      <c r="FT57"/>
      <c r="FU57"/>
      <c r="FV57"/>
      <c r="FW57"/>
      <c r="FX57"/>
      <c r="FY57"/>
      <c r="FZ57"/>
      <c r="GA57"/>
      <c r="GB57"/>
      <c r="GC57"/>
      <c r="GD57"/>
      <c r="GE57"/>
      <c r="GF57"/>
      <c r="GG57"/>
      <c r="GH57"/>
      <c r="GI57"/>
      <c r="GJ57"/>
      <c r="GK57"/>
      <c r="GL57"/>
      <c r="GM57"/>
      <c r="GN57"/>
      <c r="GO57"/>
      <c r="GP57"/>
      <c r="GQ57"/>
      <c r="GR57"/>
      <c r="GS57"/>
      <c r="GT57"/>
      <c r="GU57"/>
      <c r="GV57"/>
      <c r="GW57"/>
    </row>
    <row r="58" spans="1:205" s="66" customFormat="1" ht="3.75" customHeight="1" thickBot="1" x14ac:dyDescent="0.3">
      <c r="A58" s="16"/>
      <c r="B58" s="67"/>
      <c r="C58" s="67"/>
      <c r="D58" s="17"/>
      <c r="E58" s="17"/>
      <c r="F58" s="17"/>
      <c r="G58" s="17"/>
      <c r="H58" s="17"/>
      <c r="I58" s="17"/>
      <c r="J58" s="17"/>
      <c r="K58" s="17"/>
      <c r="L58" s="17"/>
      <c r="M58" s="17"/>
      <c r="N58" s="17"/>
      <c r="O58" s="17"/>
      <c r="P58" s="17"/>
      <c r="Q58" s="17"/>
      <c r="R58" s="17"/>
      <c r="S58" s="17"/>
      <c r="T58" s="17"/>
      <c r="U58" s="17"/>
      <c r="V58" s="17"/>
      <c r="W58" s="17"/>
      <c r="X58" s="430"/>
      <c r="Y58" s="430"/>
      <c r="Z58" s="68"/>
      <c r="AA58" s="22"/>
      <c r="AB58" s="22"/>
      <c r="AC58" s="22"/>
      <c r="AD58" s="19"/>
      <c r="AE58"/>
      <c r="AF58"/>
      <c r="AG58"/>
      <c r="AH58"/>
      <c r="AI58"/>
      <c r="AJ58"/>
      <c r="AK58"/>
      <c r="AL58"/>
      <c r="AM58"/>
      <c r="AN58"/>
      <c r="AO58"/>
      <c r="AP58"/>
      <c r="AQ58"/>
      <c r="AR58"/>
      <c r="AS58"/>
      <c r="AT58"/>
      <c r="AU58"/>
      <c r="AV58"/>
      <c r="AW58"/>
      <c r="AX58"/>
      <c r="AY58"/>
      <c r="AZ58"/>
      <c r="BA58"/>
      <c r="BB58"/>
      <c r="BC58"/>
      <c r="BD58"/>
      <c r="BE58"/>
      <c r="BF58"/>
      <c r="BG58"/>
      <c r="BH58"/>
      <c r="BI58"/>
      <c r="BJ58"/>
      <c r="BK58"/>
      <c r="BL58"/>
      <c r="BM58"/>
      <c r="BN58"/>
      <c r="BO58"/>
      <c r="BP58"/>
      <c r="BQ58"/>
      <c r="BR58"/>
      <c r="BS58"/>
      <c r="BT58"/>
      <c r="BU58"/>
      <c r="BV58"/>
      <c r="BW58"/>
      <c r="BX58"/>
      <c r="BY58"/>
      <c r="BZ58"/>
      <c r="CA58"/>
      <c r="CB58"/>
      <c r="CC58"/>
      <c r="CD58"/>
      <c r="CE58"/>
      <c r="CF58"/>
      <c r="CG58"/>
      <c r="CH58"/>
      <c r="CI58"/>
      <c r="CJ58"/>
      <c r="CK58"/>
      <c r="CL58"/>
      <c r="CM58"/>
      <c r="CN58"/>
      <c r="CO58"/>
      <c r="CP58"/>
      <c r="CQ58"/>
      <c r="CR58"/>
      <c r="CS58"/>
      <c r="CT58"/>
      <c r="CU58"/>
      <c r="CV58"/>
      <c r="CW58"/>
      <c r="CX58"/>
      <c r="CY58"/>
      <c r="CZ58"/>
      <c r="DA58"/>
      <c r="DB58"/>
      <c r="DC58"/>
      <c r="DD58"/>
      <c r="DE58"/>
      <c r="DF58"/>
      <c r="DG58"/>
      <c r="DH58"/>
      <c r="DI58"/>
      <c r="DJ58"/>
      <c r="DK58"/>
      <c r="DL58"/>
      <c r="DM58"/>
      <c r="DN58"/>
      <c r="DO58"/>
      <c r="DP58"/>
      <c r="DQ58"/>
      <c r="DR58"/>
      <c r="DS58"/>
      <c r="DT58"/>
      <c r="DU58"/>
      <c r="DV58"/>
      <c r="DW58"/>
      <c r="DX58"/>
      <c r="DY58"/>
      <c r="DZ58"/>
      <c r="EA58"/>
      <c r="EB58"/>
      <c r="EC58"/>
      <c r="ED58"/>
      <c r="EE58"/>
      <c r="EF58"/>
      <c r="EG58"/>
      <c r="EH58"/>
      <c r="EI58"/>
      <c r="EJ58"/>
      <c r="EK58"/>
      <c r="EL58"/>
      <c r="EM58"/>
      <c r="EN58"/>
      <c r="EO58"/>
      <c r="EP58"/>
      <c r="EQ58"/>
      <c r="ER58"/>
      <c r="ES58"/>
      <c r="ET58"/>
      <c r="EU58"/>
      <c r="EV58"/>
      <c r="EW58"/>
      <c r="EX58"/>
      <c r="EY58"/>
      <c r="EZ58"/>
      <c r="FA58"/>
      <c r="FB58"/>
      <c r="FC58"/>
      <c r="FD58"/>
      <c r="FE58"/>
      <c r="FF58"/>
      <c r="FG58"/>
      <c r="FH58"/>
      <c r="FI58"/>
      <c r="FJ58"/>
      <c r="FK58"/>
      <c r="FL58"/>
      <c r="FM58"/>
      <c r="FN58"/>
      <c r="FO58"/>
      <c r="FP58"/>
      <c r="FQ58"/>
      <c r="FR58"/>
      <c r="FS58"/>
      <c r="FT58"/>
      <c r="FU58"/>
      <c r="FV58"/>
      <c r="FW58"/>
      <c r="FX58"/>
      <c r="FY58"/>
      <c r="FZ58"/>
      <c r="GA58"/>
      <c r="GB58"/>
      <c r="GC58"/>
      <c r="GD58"/>
      <c r="GE58"/>
      <c r="GF58"/>
      <c r="GG58"/>
      <c r="GH58"/>
      <c r="GI58"/>
      <c r="GJ58"/>
      <c r="GK58"/>
      <c r="GL58"/>
      <c r="GM58"/>
      <c r="GN58"/>
      <c r="GO58"/>
      <c r="GP58"/>
      <c r="GQ58"/>
      <c r="GR58"/>
      <c r="GS58"/>
      <c r="GT58"/>
      <c r="GU58"/>
      <c r="GV58"/>
      <c r="GW58"/>
    </row>
    <row r="59" spans="1:205" s="66" customFormat="1" ht="30" customHeight="1" thickBot="1" x14ac:dyDescent="0.3">
      <c r="A59" s="16"/>
      <c r="B59" s="17" t="s">
        <v>88</v>
      </c>
      <c r="C59" s="67"/>
      <c r="D59" s="17"/>
      <c r="E59" s="17"/>
      <c r="F59" s="17"/>
      <c r="G59" s="17"/>
      <c r="H59" s="17"/>
      <c r="I59" s="17"/>
      <c r="J59" s="17"/>
      <c r="K59" s="17"/>
      <c r="L59" s="17"/>
      <c r="M59" s="17"/>
      <c r="N59" s="17"/>
      <c r="O59" s="17"/>
      <c r="P59" s="17"/>
      <c r="Q59" s="119"/>
      <c r="R59" s="17"/>
      <c r="S59" s="434" t="str">
        <f>IF(Taux!R19=Taux!R15,Taux!N19,IF(Taux!R19=Taux!R16,Taux!N18,Taux!N16))</f>
        <v>Deux fois le salaire annuel</v>
      </c>
      <c r="T59" s="435"/>
      <c r="U59" s="435"/>
      <c r="V59" s="435"/>
      <c r="W59" s="436"/>
      <c r="X59" s="430"/>
      <c r="Y59" s="430"/>
      <c r="Z59" s="68"/>
      <c r="AA59" s="22"/>
      <c r="AB59" s="22"/>
      <c r="AC59" s="22"/>
      <c r="AD59" s="19"/>
      <c r="AE59"/>
      <c r="AF59"/>
      <c r="AG59"/>
      <c r="AH59"/>
      <c r="AI59"/>
      <c r="AJ59"/>
      <c r="AK59"/>
      <c r="AL59"/>
      <c r="AM59"/>
      <c r="AN59"/>
      <c r="AO59"/>
      <c r="AP59"/>
      <c r="AQ59"/>
      <c r="AR59"/>
      <c r="AS59"/>
      <c r="AT59"/>
      <c r="AU59"/>
      <c r="AV59"/>
      <c r="AW59"/>
      <c r="AX59"/>
      <c r="AY59"/>
      <c r="AZ59"/>
      <c r="BA59"/>
      <c r="BB59"/>
      <c r="BC59"/>
      <c r="BD59"/>
      <c r="BE59"/>
      <c r="BF59"/>
      <c r="BG59"/>
      <c r="BH59"/>
      <c r="BI59"/>
      <c r="BJ59"/>
      <c r="BK59"/>
      <c r="BL59"/>
      <c r="BM59"/>
      <c r="BN59"/>
      <c r="BO59"/>
      <c r="BP59"/>
      <c r="BQ59"/>
      <c r="BR59"/>
      <c r="BS59"/>
      <c r="BT59"/>
      <c r="BU59"/>
      <c r="BV59"/>
      <c r="BW59"/>
      <c r="BX59"/>
      <c r="BY59"/>
      <c r="BZ59"/>
      <c r="CA59"/>
      <c r="CB59"/>
      <c r="CC59"/>
      <c r="CD59"/>
      <c r="CE59"/>
      <c r="CF59"/>
      <c r="CG59"/>
      <c r="CH59"/>
      <c r="CI59"/>
      <c r="CJ59"/>
      <c r="CK59"/>
      <c r="CL59"/>
      <c r="CM59"/>
      <c r="CN59"/>
      <c r="CO59"/>
      <c r="CP59"/>
      <c r="CQ59"/>
      <c r="CR59"/>
      <c r="CS59"/>
      <c r="CT59"/>
      <c r="CU59"/>
      <c r="CV59"/>
      <c r="CW59"/>
      <c r="CX59"/>
      <c r="CY59"/>
      <c r="CZ59"/>
      <c r="DA59"/>
      <c r="DB59"/>
      <c r="DC59"/>
      <c r="DD59"/>
      <c r="DE59"/>
      <c r="DF59"/>
      <c r="DG59"/>
      <c r="DH59"/>
      <c r="DI59"/>
      <c r="DJ59"/>
      <c r="DK59"/>
      <c r="DL59"/>
      <c r="DM59"/>
      <c r="DN59"/>
      <c r="DO59"/>
      <c r="DP59"/>
      <c r="DQ59"/>
      <c r="DR59"/>
      <c r="DS59"/>
      <c r="DT59"/>
      <c r="DU59"/>
      <c r="DV59"/>
      <c r="DW59"/>
      <c r="DX59"/>
      <c r="DY59"/>
      <c r="DZ59"/>
      <c r="EA59"/>
      <c r="EB59"/>
      <c r="EC59"/>
      <c r="ED59"/>
      <c r="EE59"/>
      <c r="EF59"/>
      <c r="EG59"/>
      <c r="EH59"/>
      <c r="EI59"/>
      <c r="EJ59"/>
      <c r="EK59"/>
      <c r="EL59"/>
      <c r="EM59"/>
      <c r="EN59"/>
      <c r="EO59"/>
      <c r="EP59"/>
      <c r="EQ59"/>
      <c r="ER59"/>
      <c r="ES59"/>
      <c r="ET59"/>
      <c r="EU59"/>
      <c r="EV59"/>
      <c r="EW59"/>
      <c r="EX59"/>
      <c r="EY59"/>
      <c r="EZ59"/>
      <c r="FA59"/>
      <c r="FB59"/>
      <c r="FC59"/>
      <c r="FD59"/>
      <c r="FE59"/>
      <c r="FF59"/>
      <c r="FG59"/>
      <c r="FH59"/>
      <c r="FI59"/>
      <c r="FJ59"/>
      <c r="FK59"/>
      <c r="FL59"/>
      <c r="FM59"/>
      <c r="FN59"/>
      <c r="FO59"/>
      <c r="FP59"/>
      <c r="FQ59"/>
      <c r="FR59"/>
      <c r="FS59"/>
      <c r="FT59"/>
      <c r="FU59"/>
      <c r="FV59"/>
      <c r="FW59"/>
      <c r="FX59"/>
      <c r="FY59"/>
      <c r="FZ59"/>
      <c r="GA59"/>
      <c r="GB59"/>
      <c r="GC59"/>
      <c r="GD59"/>
      <c r="GE59"/>
      <c r="GF59"/>
      <c r="GG59"/>
      <c r="GH59"/>
      <c r="GI59"/>
      <c r="GJ59"/>
      <c r="GK59"/>
      <c r="GL59"/>
      <c r="GM59"/>
      <c r="GN59"/>
      <c r="GO59"/>
      <c r="GP59"/>
      <c r="GQ59"/>
      <c r="GR59"/>
      <c r="GS59"/>
      <c r="GT59"/>
      <c r="GU59"/>
      <c r="GV59"/>
      <c r="GW59"/>
    </row>
    <row r="60" spans="1:205" s="66" customFormat="1" ht="3.75" customHeight="1" thickBot="1" x14ac:dyDescent="0.3">
      <c r="A60" s="16"/>
      <c r="B60" s="67"/>
      <c r="C60" s="67"/>
      <c r="D60" s="17"/>
      <c r="E60" s="17"/>
      <c r="F60" s="17"/>
      <c r="G60" s="17"/>
      <c r="H60" s="17"/>
      <c r="I60" s="17"/>
      <c r="J60" s="17"/>
      <c r="K60" s="17"/>
      <c r="L60" s="17"/>
      <c r="M60" s="17"/>
      <c r="N60" s="17"/>
      <c r="O60" s="17"/>
      <c r="P60" s="17"/>
      <c r="Q60" s="69"/>
      <c r="R60" s="70"/>
      <c r="S60" s="70"/>
      <c r="T60" s="70"/>
      <c r="U60" s="17"/>
      <c r="V60" s="17"/>
      <c r="W60" s="22"/>
      <c r="X60" s="22"/>
      <c r="Y60" s="17"/>
      <c r="Z60" s="22"/>
      <c r="AA60" s="22"/>
      <c r="AB60" s="22"/>
      <c r="AC60" s="18"/>
      <c r="AD60" s="19"/>
      <c r="AE60"/>
      <c r="AF60"/>
      <c r="AG60"/>
      <c r="AH60"/>
      <c r="AI60"/>
      <c r="AJ60"/>
      <c r="AK60"/>
      <c r="AL60"/>
      <c r="AM60"/>
      <c r="AN60"/>
      <c r="AO60"/>
      <c r="AP60"/>
      <c r="AQ60"/>
      <c r="AR60"/>
      <c r="AS60"/>
      <c r="AT60"/>
      <c r="AU60"/>
      <c r="AV60"/>
      <c r="AW60"/>
      <c r="AX60"/>
      <c r="AY60"/>
      <c r="AZ60"/>
      <c r="BA60"/>
      <c r="BB60"/>
      <c r="BC60"/>
      <c r="BD60"/>
      <c r="BE60"/>
      <c r="BF60"/>
      <c r="BG60"/>
      <c r="BH60"/>
      <c r="BI60"/>
      <c r="BJ60"/>
      <c r="BK60"/>
      <c r="BL60"/>
      <c r="BM60"/>
      <c r="BN60"/>
      <c r="BO60"/>
      <c r="BP60"/>
      <c r="BQ60"/>
      <c r="BR60"/>
      <c r="BS60"/>
      <c r="BT60"/>
      <c r="BU60"/>
      <c r="BV60"/>
      <c r="BW60"/>
      <c r="BX60"/>
      <c r="BY60"/>
      <c r="BZ60"/>
      <c r="CA60"/>
      <c r="CB60"/>
      <c r="CC60"/>
      <c r="CD60"/>
      <c r="CE60"/>
      <c r="CF60"/>
      <c r="CG60"/>
      <c r="CH60"/>
      <c r="CI60"/>
      <c r="CJ60"/>
      <c r="CK60"/>
      <c r="CL60"/>
      <c r="CM60"/>
      <c r="CN60"/>
      <c r="CO60"/>
      <c r="CP60"/>
      <c r="CQ60"/>
      <c r="CR60"/>
      <c r="CS60"/>
      <c r="CT60"/>
      <c r="CU60"/>
      <c r="CV60"/>
      <c r="CW60"/>
      <c r="CX60"/>
      <c r="CY60"/>
      <c r="CZ60"/>
      <c r="DA60"/>
      <c r="DB60"/>
      <c r="DC60"/>
      <c r="DD60"/>
      <c r="DE60"/>
      <c r="DF60"/>
      <c r="DG60"/>
      <c r="DH60"/>
      <c r="DI60"/>
      <c r="DJ60"/>
      <c r="DK60"/>
      <c r="DL60"/>
      <c r="DM60"/>
      <c r="DN60"/>
      <c r="DO60"/>
      <c r="DP60"/>
      <c r="DQ60"/>
      <c r="DR60"/>
      <c r="DS60"/>
      <c r="DT60"/>
      <c r="DU60"/>
      <c r="DV60"/>
      <c r="DW60"/>
      <c r="DX60"/>
      <c r="DY60"/>
      <c r="DZ60"/>
      <c r="EA60"/>
      <c r="EB60"/>
      <c r="EC60"/>
      <c r="ED60"/>
      <c r="EE60"/>
      <c r="EF60"/>
      <c r="EG60"/>
      <c r="EH60"/>
      <c r="EI60"/>
      <c r="EJ60"/>
      <c r="EK60"/>
      <c r="EL60"/>
      <c r="EM60"/>
      <c r="EN60"/>
      <c r="EO60"/>
      <c r="EP60"/>
      <c r="EQ60"/>
      <c r="ER60"/>
      <c r="ES60"/>
      <c r="ET60"/>
      <c r="EU60"/>
      <c r="EV60"/>
      <c r="EW60"/>
      <c r="EX60"/>
      <c r="EY60"/>
      <c r="EZ60"/>
      <c r="FA60"/>
      <c r="FB60"/>
      <c r="FC60"/>
      <c r="FD60"/>
      <c r="FE60"/>
      <c r="FF60"/>
      <c r="FG60"/>
      <c r="FH60"/>
      <c r="FI60"/>
      <c r="FJ60"/>
      <c r="FK60"/>
      <c r="FL60"/>
      <c r="FM60"/>
      <c r="FN60"/>
      <c r="FO60"/>
      <c r="FP60"/>
      <c r="FQ60"/>
      <c r="FR60"/>
      <c r="FS60"/>
      <c r="FT60"/>
      <c r="FU60"/>
      <c r="FV60"/>
      <c r="FW60"/>
      <c r="FX60"/>
      <c r="FY60"/>
      <c r="FZ60"/>
      <c r="GA60"/>
      <c r="GB60"/>
      <c r="GC60"/>
      <c r="GD60"/>
      <c r="GE60"/>
      <c r="GF60"/>
      <c r="GG60"/>
      <c r="GH60"/>
      <c r="GI60"/>
      <c r="GJ60"/>
      <c r="GK60"/>
      <c r="GL60"/>
      <c r="GM60"/>
      <c r="GN60"/>
      <c r="GO60"/>
      <c r="GP60"/>
      <c r="GQ60"/>
      <c r="GR60"/>
      <c r="GS60"/>
      <c r="GT60"/>
      <c r="GU60"/>
      <c r="GV60"/>
      <c r="GW60"/>
    </row>
    <row r="61" spans="1:205" s="66" customFormat="1" ht="30" customHeight="1" thickBot="1" x14ac:dyDescent="0.3">
      <c r="A61" s="16"/>
      <c r="B61" s="119"/>
      <c r="C61" s="22"/>
      <c r="D61" s="434" t="str">
        <f>Taux!L15</f>
        <v>Oui</v>
      </c>
      <c r="E61" s="436"/>
      <c r="F61" s="430" t="str">
        <f>IF(COUNTBLANK(B61:B63)&lt;2,"Il ne peut y avoir qu'un seul choix de réponse",IF(COUNTBLANK(B61:B63)=3,"Vous devez faire un choix de réponse",""))</f>
        <v>Vous devez faire un choix de réponse</v>
      </c>
      <c r="G61" s="430"/>
      <c r="H61" s="430"/>
      <c r="I61" s="68"/>
      <c r="J61" s="68"/>
      <c r="K61" s="68"/>
      <c r="L61" s="17"/>
      <c r="M61" s="17"/>
      <c r="N61" s="17"/>
      <c r="O61" s="17"/>
      <c r="P61" s="17"/>
      <c r="Q61" s="69"/>
      <c r="R61" s="69"/>
      <c r="S61" s="69"/>
      <c r="T61" s="69"/>
      <c r="U61" s="23" t="s">
        <v>342</v>
      </c>
      <c r="V61" s="297">
        <f>MAX(V35,V50)</f>
        <v>0</v>
      </c>
      <c r="W61" s="17"/>
      <c r="X61" s="296"/>
      <c r="Y61" s="17"/>
      <c r="Z61" s="22"/>
      <c r="AA61" s="22"/>
      <c r="AB61" s="23"/>
      <c r="AC61" s="18"/>
      <c r="AD61" s="19"/>
      <c r="AE61"/>
      <c r="AF61"/>
      <c r="AG61"/>
      <c r="AH61"/>
      <c r="AI61"/>
      <c r="AJ61"/>
      <c r="AK61"/>
      <c r="AL61"/>
      <c r="AM61"/>
      <c r="AN61"/>
      <c r="AO61"/>
      <c r="AP61"/>
      <c r="AQ61"/>
      <c r="AR61"/>
      <c r="AS61"/>
      <c r="AT61"/>
      <c r="AU61"/>
      <c r="AV61"/>
      <c r="AW61"/>
      <c r="AX61"/>
      <c r="AY61"/>
      <c r="AZ61"/>
      <c r="BA61"/>
      <c r="BB61"/>
      <c r="BC61"/>
      <c r="BD61"/>
      <c r="BE61"/>
      <c r="BF61"/>
      <c r="BG61"/>
      <c r="BH61"/>
      <c r="BI61"/>
      <c r="BJ61"/>
      <c r="BK61"/>
      <c r="BL61"/>
      <c r="BM61"/>
      <c r="BN61"/>
      <c r="BO61"/>
      <c r="BP61"/>
      <c r="BQ61"/>
      <c r="BR61"/>
      <c r="BS61"/>
      <c r="BT61"/>
      <c r="BU61"/>
      <c r="BV61"/>
      <c r="BW61"/>
      <c r="BX61"/>
      <c r="BY61"/>
      <c r="BZ61"/>
      <c r="CA61"/>
      <c r="CB61"/>
      <c r="CC61"/>
      <c r="CD61"/>
      <c r="CE61"/>
      <c r="CF61"/>
      <c r="CG61"/>
      <c r="CH61"/>
      <c r="CI61"/>
      <c r="CJ61"/>
      <c r="CK61"/>
      <c r="CL61"/>
      <c r="CM61"/>
      <c r="CN61"/>
      <c r="CO61"/>
      <c r="CP61"/>
      <c r="CQ61"/>
      <c r="CR61"/>
      <c r="CS61"/>
      <c r="CT61"/>
      <c r="CU61"/>
      <c r="CV61"/>
      <c r="CW61"/>
      <c r="CX61"/>
      <c r="CY61"/>
      <c r="CZ61"/>
      <c r="DA61"/>
      <c r="DB61"/>
      <c r="DC61"/>
      <c r="DD61"/>
      <c r="DE61"/>
      <c r="DF61"/>
      <c r="DG61"/>
      <c r="DH61"/>
      <c r="DI61"/>
      <c r="DJ61"/>
      <c r="DK61"/>
      <c r="DL61"/>
      <c r="DM61"/>
      <c r="DN61"/>
      <c r="DO61"/>
      <c r="DP61"/>
      <c r="DQ61"/>
      <c r="DR61"/>
      <c r="DS61"/>
      <c r="DT61"/>
      <c r="DU61"/>
      <c r="DV61"/>
      <c r="DW61"/>
      <c r="DX61"/>
      <c r="DY61"/>
      <c r="DZ61"/>
      <c r="EA61"/>
      <c r="EB61"/>
      <c r="EC61"/>
      <c r="ED61"/>
      <c r="EE61"/>
      <c r="EF61"/>
      <c r="EG61"/>
      <c r="EH61"/>
      <c r="EI61"/>
      <c r="EJ61"/>
      <c r="EK61"/>
      <c r="EL61"/>
      <c r="EM61"/>
      <c r="EN61"/>
      <c r="EO61"/>
      <c r="EP61"/>
      <c r="EQ61"/>
      <c r="ER61"/>
      <c r="ES61"/>
      <c r="ET61"/>
      <c r="EU61"/>
      <c r="EV61"/>
      <c r="EW61"/>
      <c r="EX61"/>
      <c r="EY61"/>
      <c r="EZ61"/>
      <c r="FA61"/>
      <c r="FB61"/>
      <c r="FC61"/>
      <c r="FD61"/>
      <c r="FE61"/>
      <c r="FF61"/>
      <c r="FG61"/>
      <c r="FH61"/>
      <c r="FI61"/>
      <c r="FJ61"/>
      <c r="FK61"/>
      <c r="FL61"/>
      <c r="FM61"/>
      <c r="FN61"/>
      <c r="FO61"/>
      <c r="FP61"/>
      <c r="FQ61"/>
      <c r="FR61"/>
      <c r="FS61"/>
      <c r="FT61"/>
      <c r="FU61"/>
      <c r="FV61"/>
      <c r="FW61"/>
      <c r="FX61"/>
      <c r="FY61"/>
      <c r="FZ61"/>
      <c r="GA61"/>
      <c r="GB61"/>
      <c r="GC61"/>
      <c r="GD61"/>
      <c r="GE61"/>
      <c r="GF61"/>
      <c r="GG61"/>
      <c r="GH61"/>
      <c r="GI61"/>
      <c r="GJ61"/>
      <c r="GK61"/>
      <c r="GL61"/>
      <c r="GM61"/>
      <c r="GN61"/>
      <c r="GO61"/>
      <c r="GP61"/>
      <c r="GQ61"/>
      <c r="GR61"/>
      <c r="GS61"/>
      <c r="GT61"/>
      <c r="GU61"/>
      <c r="GV61"/>
      <c r="GW61"/>
    </row>
    <row r="62" spans="1:205" s="66" customFormat="1" ht="3.75" customHeight="1" thickBot="1" x14ac:dyDescent="0.3">
      <c r="A62" s="16"/>
      <c r="B62" s="312"/>
      <c r="C62" s="22"/>
      <c r="D62" s="21"/>
      <c r="E62" s="17"/>
      <c r="F62" s="430"/>
      <c r="G62" s="430"/>
      <c r="H62" s="430"/>
      <c r="I62" s="68"/>
      <c r="J62" s="68"/>
      <c r="K62" s="68"/>
      <c r="L62" s="17"/>
      <c r="M62" s="17"/>
      <c r="N62" s="17"/>
      <c r="O62" s="17"/>
      <c r="P62" s="17"/>
      <c r="Q62" s="69"/>
      <c r="R62" s="69"/>
      <c r="S62" s="69"/>
      <c r="T62" s="69"/>
      <c r="U62" s="71"/>
      <c r="V62" s="72"/>
      <c r="W62" s="296"/>
      <c r="X62" s="296"/>
      <c r="Y62" s="17"/>
      <c r="Z62" s="22"/>
      <c r="AA62" s="22"/>
      <c r="AB62" s="23"/>
      <c r="AC62" s="18"/>
      <c r="AD62" s="19"/>
      <c r="AE62"/>
      <c r="AF62"/>
      <c r="AG62"/>
      <c r="AH62"/>
      <c r="AI62"/>
      <c r="AJ62"/>
      <c r="AK62"/>
      <c r="AL62"/>
      <c r="AM62"/>
      <c r="AN62"/>
      <c r="AO62"/>
      <c r="AP62"/>
      <c r="AQ62"/>
      <c r="AR62"/>
      <c r="AS62"/>
      <c r="AT62"/>
      <c r="AU62"/>
      <c r="AV62"/>
      <c r="AW62"/>
      <c r="AX62"/>
      <c r="AY62"/>
      <c r="AZ62"/>
      <c r="BA62"/>
      <c r="BB62"/>
      <c r="BC62"/>
      <c r="BD62"/>
      <c r="BE62"/>
      <c r="BF62"/>
      <c r="BG62"/>
      <c r="BH62"/>
      <c r="BI62"/>
      <c r="BJ62"/>
      <c r="BK62"/>
      <c r="BL62"/>
      <c r="BM62"/>
      <c r="BN62"/>
      <c r="BO62"/>
      <c r="BP62"/>
      <c r="BQ62"/>
      <c r="BR62"/>
      <c r="BS62"/>
      <c r="BT62"/>
      <c r="BU62"/>
      <c r="BV62"/>
      <c r="BW62"/>
      <c r="BX62"/>
      <c r="BY62"/>
      <c r="BZ62"/>
      <c r="CA62"/>
      <c r="CB62"/>
      <c r="CC62"/>
      <c r="CD62"/>
      <c r="CE62"/>
      <c r="CF62"/>
      <c r="CG62"/>
      <c r="CH62"/>
      <c r="CI62"/>
      <c r="CJ62"/>
      <c r="CK62"/>
      <c r="CL62"/>
      <c r="CM62"/>
      <c r="CN62"/>
      <c r="CO62"/>
      <c r="CP62"/>
      <c r="CQ62"/>
      <c r="CR62"/>
      <c r="CS62"/>
      <c r="CT62"/>
      <c r="CU62"/>
      <c r="CV62"/>
      <c r="CW62"/>
      <c r="CX62"/>
      <c r="CY62"/>
      <c r="CZ62"/>
      <c r="DA62"/>
      <c r="DB62"/>
      <c r="DC62"/>
      <c r="DD62"/>
      <c r="DE62"/>
      <c r="DF62"/>
      <c r="DG62"/>
      <c r="DH62"/>
      <c r="DI62"/>
      <c r="DJ62"/>
      <c r="DK62"/>
      <c r="DL62"/>
      <c r="DM62"/>
      <c r="DN62"/>
      <c r="DO62"/>
      <c r="DP62"/>
      <c r="DQ62"/>
      <c r="DR62"/>
      <c r="DS62"/>
      <c r="DT62"/>
      <c r="DU62"/>
      <c r="DV62"/>
      <c r="DW62"/>
      <c r="DX62"/>
      <c r="DY62"/>
      <c r="DZ62"/>
      <c r="EA62"/>
      <c r="EB62"/>
      <c r="EC62"/>
      <c r="ED62"/>
      <c r="EE62"/>
      <c r="EF62"/>
      <c r="EG62"/>
      <c r="EH62"/>
      <c r="EI62"/>
      <c r="EJ62"/>
      <c r="EK62"/>
      <c r="EL62"/>
      <c r="EM62"/>
      <c r="EN62"/>
      <c r="EO62"/>
      <c r="EP62"/>
      <c r="EQ62"/>
      <c r="ER62"/>
      <c r="ES62"/>
      <c r="ET62"/>
      <c r="EU62"/>
      <c r="EV62"/>
      <c r="EW62"/>
      <c r="EX62"/>
      <c r="EY62"/>
      <c r="EZ62"/>
      <c r="FA62"/>
      <c r="FB62"/>
      <c r="FC62"/>
      <c r="FD62"/>
      <c r="FE62"/>
      <c r="FF62"/>
      <c r="FG62"/>
      <c r="FH62"/>
      <c r="FI62"/>
      <c r="FJ62"/>
      <c r="FK62"/>
      <c r="FL62"/>
      <c r="FM62"/>
      <c r="FN62"/>
      <c r="FO62"/>
      <c r="FP62"/>
      <c r="FQ62"/>
      <c r="FR62"/>
      <c r="FS62"/>
      <c r="FT62"/>
      <c r="FU62"/>
      <c r="FV62"/>
      <c r="FW62"/>
      <c r="FX62"/>
      <c r="FY62"/>
      <c r="FZ62"/>
      <c r="GA62"/>
      <c r="GB62"/>
      <c r="GC62"/>
      <c r="GD62"/>
      <c r="GE62"/>
      <c r="GF62"/>
      <c r="GG62"/>
      <c r="GH62"/>
      <c r="GI62"/>
      <c r="GJ62"/>
      <c r="GK62"/>
      <c r="GL62"/>
      <c r="GM62"/>
      <c r="GN62"/>
      <c r="GO62"/>
      <c r="GP62"/>
      <c r="GQ62"/>
      <c r="GR62"/>
      <c r="GS62"/>
      <c r="GT62"/>
      <c r="GU62"/>
      <c r="GV62"/>
      <c r="GW62"/>
    </row>
    <row r="63" spans="1:205" s="66" customFormat="1" ht="30" customHeight="1" thickBot="1" x14ac:dyDescent="0.3">
      <c r="A63" s="16"/>
      <c r="B63" s="119"/>
      <c r="C63" s="22"/>
      <c r="D63" s="434" t="str">
        <f>Taux!L16</f>
        <v>Non</v>
      </c>
      <c r="E63" s="436"/>
      <c r="F63" s="430"/>
      <c r="G63" s="430"/>
      <c r="H63" s="430"/>
      <c r="I63" s="68"/>
      <c r="J63" s="68"/>
      <c r="K63" s="68"/>
      <c r="L63" s="17"/>
      <c r="M63" s="17"/>
      <c r="N63" s="17"/>
      <c r="O63" s="17"/>
      <c r="P63" s="17"/>
      <c r="Q63" s="69"/>
      <c r="R63" s="69"/>
      <c r="S63" s="69"/>
      <c r="T63" s="69"/>
      <c r="U63" s="71" t="s">
        <v>112</v>
      </c>
      <c r="V63" s="231">
        <f>Taux!Q18</f>
        <v>0</v>
      </c>
      <c r="W63" s="476" t="str">
        <f>IF(AND(V61&lt;75000,Taux!R19=Taux!R15),"Le montant minimum assurable est de 75 000$ pour l'assurance vie de base.","")</f>
        <v>Le montant minimum assurable est de 75 000$ pour l'assurance vie de base.</v>
      </c>
      <c r="X63" s="477"/>
      <c r="Y63" s="477"/>
      <c r="Z63" s="17"/>
      <c r="AA63" s="17"/>
      <c r="AB63" s="17"/>
      <c r="AC63" s="17"/>
      <c r="AD63" s="19"/>
      <c r="AE63"/>
      <c r="AF63"/>
      <c r="AG63"/>
      <c r="AH63"/>
      <c r="AI63"/>
      <c r="AJ63"/>
      <c r="AK63"/>
      <c r="AL63"/>
      <c r="AM63"/>
      <c r="AN63"/>
      <c r="AO63"/>
      <c r="AP63"/>
      <c r="AQ63"/>
      <c r="AR63"/>
      <c r="AS63"/>
      <c r="AT63"/>
      <c r="AU63"/>
      <c r="AV63"/>
      <c r="AW63"/>
      <c r="AX63"/>
      <c r="AY63"/>
      <c r="AZ63"/>
      <c r="BA63"/>
      <c r="BB63"/>
      <c r="BC63"/>
      <c r="BD63"/>
      <c r="BE63"/>
      <c r="BF63"/>
      <c r="BG63"/>
      <c r="BH63"/>
      <c r="BI63"/>
      <c r="BJ63"/>
      <c r="BK63"/>
      <c r="BL63"/>
      <c r="BM63"/>
      <c r="BN63"/>
      <c r="BO63"/>
      <c r="BP63"/>
      <c r="BQ63"/>
      <c r="BR63"/>
      <c r="BS63"/>
      <c r="BT63"/>
      <c r="BU63"/>
      <c r="BV63"/>
      <c r="BW63"/>
      <c r="BX63"/>
      <c r="BY63"/>
      <c r="BZ63"/>
      <c r="CA63"/>
      <c r="CB63"/>
      <c r="CC63"/>
      <c r="CD63"/>
      <c r="CE63"/>
      <c r="CF63"/>
      <c r="CG63"/>
      <c r="CH63"/>
      <c r="CI63"/>
      <c r="CJ63"/>
      <c r="CK63"/>
      <c r="CL63"/>
      <c r="CM63"/>
      <c r="CN63"/>
      <c r="CO63"/>
      <c r="CP63"/>
      <c r="CQ63"/>
      <c r="CR63"/>
      <c r="CS63"/>
      <c r="CT63"/>
      <c r="CU63"/>
      <c r="CV63"/>
      <c r="CW63"/>
      <c r="CX63"/>
      <c r="CY63"/>
      <c r="CZ63"/>
      <c r="DA63"/>
      <c r="DB63"/>
      <c r="DC63"/>
      <c r="DD63"/>
      <c r="DE63"/>
      <c r="DF63"/>
      <c r="DG63"/>
      <c r="DH63"/>
      <c r="DI63"/>
      <c r="DJ63"/>
      <c r="DK63"/>
      <c r="DL63"/>
      <c r="DM63"/>
      <c r="DN63"/>
      <c r="DO63"/>
      <c r="DP63"/>
      <c r="DQ63"/>
      <c r="DR63"/>
      <c r="DS63"/>
      <c r="DT63"/>
      <c r="DU63"/>
      <c r="DV63"/>
      <c r="DW63"/>
      <c r="DX63"/>
      <c r="DY63"/>
      <c r="DZ63"/>
      <c r="EA63"/>
      <c r="EB63"/>
      <c r="EC63"/>
      <c r="ED63"/>
      <c r="EE63"/>
      <c r="EF63"/>
      <c r="EG63"/>
      <c r="EH63"/>
      <c r="EI63"/>
      <c r="EJ63"/>
      <c r="EK63"/>
      <c r="EL63"/>
      <c r="EM63"/>
      <c r="EN63"/>
      <c r="EO63"/>
      <c r="EP63"/>
      <c r="EQ63"/>
      <c r="ER63"/>
      <c r="ES63"/>
      <c r="ET63"/>
      <c r="EU63"/>
      <c r="EV63"/>
      <c r="EW63"/>
      <c r="EX63"/>
      <c r="EY63"/>
      <c r="EZ63"/>
      <c r="FA63"/>
      <c r="FB63"/>
      <c r="FC63"/>
      <c r="FD63"/>
      <c r="FE63"/>
      <c r="FF63"/>
      <c r="FG63"/>
      <c r="FH63"/>
      <c r="FI63"/>
      <c r="FJ63"/>
      <c r="FK63"/>
      <c r="FL63"/>
      <c r="FM63"/>
      <c r="FN63"/>
      <c r="FO63"/>
      <c r="FP63"/>
      <c r="FQ63"/>
      <c r="FR63"/>
      <c r="FS63"/>
      <c r="FT63"/>
      <c r="FU63"/>
      <c r="FV63"/>
      <c r="FW63"/>
      <c r="FX63"/>
      <c r="FY63"/>
      <c r="FZ63"/>
      <c r="GA63"/>
      <c r="GB63"/>
      <c r="GC63"/>
      <c r="GD63"/>
      <c r="GE63"/>
      <c r="GF63"/>
      <c r="GG63"/>
      <c r="GH63"/>
      <c r="GI63"/>
      <c r="GJ63"/>
      <c r="GK63"/>
      <c r="GL63"/>
      <c r="GM63"/>
      <c r="GN63"/>
      <c r="GO63"/>
      <c r="GP63"/>
      <c r="GQ63"/>
      <c r="GR63"/>
      <c r="GS63"/>
      <c r="GT63"/>
      <c r="GU63"/>
      <c r="GV63"/>
      <c r="GW63"/>
    </row>
    <row r="64" spans="1:205" s="66" customFormat="1" ht="3.75" customHeight="1" x14ac:dyDescent="0.25">
      <c r="A64" s="16"/>
      <c r="B64" s="312"/>
      <c r="C64" s="22"/>
      <c r="D64" s="21"/>
      <c r="E64" s="17"/>
      <c r="F64" s="17"/>
      <c r="G64" s="17"/>
      <c r="H64" s="17"/>
      <c r="I64" s="17"/>
      <c r="J64" s="17"/>
      <c r="K64" s="17"/>
      <c r="L64" s="17"/>
      <c r="M64" s="17"/>
      <c r="N64" s="17"/>
      <c r="O64" s="17"/>
      <c r="P64" s="17"/>
      <c r="Q64" s="69"/>
      <c r="R64" s="69"/>
      <c r="S64" s="69"/>
      <c r="T64" s="69"/>
      <c r="U64" s="73"/>
      <c r="V64" s="17"/>
      <c r="W64" s="71"/>
      <c r="X64" s="72"/>
      <c r="Y64" s="17"/>
      <c r="Z64" s="17"/>
      <c r="AA64" s="17"/>
      <c r="AB64" s="17"/>
      <c r="AC64" s="17"/>
      <c r="AD64" s="19"/>
      <c r="AE64"/>
      <c r="AF64"/>
      <c r="AG64"/>
      <c r="AH64"/>
      <c r="AI64"/>
      <c r="AJ64"/>
      <c r="AK64"/>
      <c r="AL64"/>
      <c r="AM64"/>
      <c r="AN64"/>
      <c r="AO64"/>
      <c r="AP64"/>
      <c r="AQ64"/>
      <c r="AR64"/>
      <c r="AS64"/>
      <c r="AT64"/>
      <c r="AU64"/>
      <c r="AV64"/>
      <c r="AW64"/>
      <c r="AX64"/>
      <c r="AY64"/>
      <c r="AZ64"/>
      <c r="BA64"/>
      <c r="BB64"/>
      <c r="BC64"/>
      <c r="BD64"/>
      <c r="BE64"/>
      <c r="BF64"/>
      <c r="BG64"/>
      <c r="BH64"/>
      <c r="BI64"/>
      <c r="BJ64"/>
      <c r="BK64"/>
      <c r="BL64"/>
      <c r="BM64"/>
      <c r="BN64"/>
      <c r="BO64"/>
      <c r="BP64"/>
      <c r="BQ64"/>
      <c r="BR64"/>
      <c r="BS64"/>
      <c r="BT64"/>
      <c r="BU64"/>
      <c r="BV64"/>
      <c r="BW64"/>
      <c r="BX64"/>
      <c r="BY64"/>
      <c r="BZ64"/>
      <c r="CA64"/>
      <c r="CB64"/>
      <c r="CC64"/>
      <c r="CD64"/>
      <c r="CE64"/>
      <c r="CF64"/>
      <c r="CG64"/>
      <c r="CH64"/>
      <c r="CI64"/>
      <c r="CJ64"/>
      <c r="CK64"/>
      <c r="CL64"/>
      <c r="CM64"/>
      <c r="CN64"/>
      <c r="CO64"/>
      <c r="CP64"/>
      <c r="CQ64"/>
      <c r="CR64"/>
      <c r="CS64"/>
      <c r="CT64"/>
      <c r="CU64"/>
      <c r="CV64"/>
      <c r="CW64"/>
      <c r="CX64"/>
      <c r="CY64"/>
      <c r="CZ64"/>
      <c r="DA64"/>
      <c r="DB64"/>
      <c r="DC64"/>
      <c r="DD64"/>
      <c r="DE64"/>
      <c r="DF64"/>
      <c r="DG64"/>
      <c r="DH64"/>
      <c r="DI64"/>
      <c r="DJ64"/>
      <c r="DK64"/>
      <c r="DL64"/>
      <c r="DM64"/>
      <c r="DN64"/>
      <c r="DO64"/>
      <c r="DP64"/>
      <c r="DQ64"/>
      <c r="DR64"/>
      <c r="DS64"/>
      <c r="DT64"/>
      <c r="DU64"/>
      <c r="DV64"/>
      <c r="DW64"/>
      <c r="DX64"/>
      <c r="DY64"/>
      <c r="DZ64"/>
      <c r="EA64"/>
      <c r="EB64"/>
      <c r="EC64"/>
      <c r="ED64"/>
      <c r="EE64"/>
      <c r="EF64"/>
      <c r="EG64"/>
      <c r="EH64"/>
      <c r="EI64"/>
      <c r="EJ64"/>
      <c r="EK64"/>
      <c r="EL64"/>
      <c r="EM64"/>
      <c r="EN64"/>
      <c r="EO64"/>
      <c r="EP64"/>
      <c r="EQ64"/>
      <c r="ER64"/>
      <c r="ES64"/>
      <c r="ET64"/>
      <c r="EU64"/>
      <c r="EV64"/>
      <c r="EW64"/>
      <c r="EX64"/>
      <c r="EY64"/>
      <c r="EZ64"/>
      <c r="FA64"/>
      <c r="FB64"/>
      <c r="FC64"/>
      <c r="FD64"/>
      <c r="FE64"/>
      <c r="FF64"/>
      <c r="FG64"/>
      <c r="FH64"/>
      <c r="FI64"/>
      <c r="FJ64"/>
      <c r="FK64"/>
      <c r="FL64"/>
      <c r="FM64"/>
      <c r="FN64"/>
      <c r="FO64"/>
      <c r="FP64"/>
      <c r="FQ64"/>
      <c r="FR64"/>
      <c r="FS64"/>
      <c r="FT64"/>
      <c r="FU64"/>
      <c r="FV64"/>
      <c r="FW64"/>
      <c r="FX64"/>
      <c r="FY64"/>
      <c r="FZ64"/>
      <c r="GA64"/>
      <c r="GB64"/>
      <c r="GC64"/>
      <c r="GD64"/>
      <c r="GE64"/>
      <c r="GF64"/>
      <c r="GG64"/>
      <c r="GH64"/>
      <c r="GI64"/>
      <c r="GJ64"/>
      <c r="GK64"/>
      <c r="GL64"/>
      <c r="GM64"/>
      <c r="GN64"/>
      <c r="GO64"/>
      <c r="GP64"/>
      <c r="GQ64"/>
      <c r="GR64"/>
      <c r="GS64"/>
      <c r="GT64"/>
      <c r="GU64"/>
      <c r="GV64"/>
      <c r="GW64"/>
    </row>
    <row r="65" spans="1:205" s="66" customFormat="1" ht="30" customHeight="1" thickBot="1" x14ac:dyDescent="0.3">
      <c r="A65" s="16"/>
      <c r="B65" s="17"/>
      <c r="C65" s="17"/>
      <c r="D65" s="483" t="s">
        <v>101</v>
      </c>
      <c r="E65" s="483"/>
      <c r="F65" s="483"/>
      <c r="G65" s="483"/>
      <c r="H65" s="483"/>
      <c r="I65" s="483"/>
      <c r="J65" s="483"/>
      <c r="K65" s="483"/>
      <c r="L65" s="22"/>
      <c r="M65" s="22"/>
      <c r="N65" s="22"/>
      <c r="O65" s="22"/>
      <c r="P65" s="22"/>
      <c r="Q65" s="22"/>
      <c r="R65" s="17"/>
      <c r="S65" s="17"/>
      <c r="T65" s="17"/>
      <c r="U65" s="17"/>
      <c r="V65" s="17"/>
      <c r="W65" s="71"/>
      <c r="X65" s="71"/>
      <c r="Y65" s="71"/>
      <c r="Z65" s="17"/>
      <c r="AA65" s="17"/>
      <c r="AB65" s="17"/>
      <c r="AC65" s="335"/>
      <c r="AD65" s="19"/>
      <c r="AE65"/>
      <c r="AF65"/>
      <c r="AG65"/>
      <c r="AH65"/>
      <c r="AI65"/>
      <c r="AJ65"/>
      <c r="AK65"/>
      <c r="AL65"/>
      <c r="AM65"/>
      <c r="AN65"/>
      <c r="AO65"/>
      <c r="AP65"/>
      <c r="AQ65"/>
      <c r="AR65"/>
      <c r="AS65"/>
      <c r="AT65"/>
      <c r="AU65"/>
      <c r="AV65"/>
      <c r="AW65"/>
      <c r="AX65"/>
      <c r="AY65"/>
      <c r="AZ65"/>
      <c r="BA65"/>
      <c r="BB65"/>
      <c r="BC65"/>
      <c r="BD65"/>
      <c r="BE65"/>
      <c r="BF65"/>
      <c r="BG65"/>
      <c r="BH65"/>
      <c r="BI65"/>
      <c r="BJ65"/>
      <c r="BK65"/>
      <c r="BL65"/>
      <c r="BM65"/>
      <c r="BN65"/>
      <c r="BO65"/>
      <c r="BP65"/>
      <c r="BQ65"/>
      <c r="BR65"/>
      <c r="BS65"/>
      <c r="BT65"/>
      <c r="BU65"/>
      <c r="BV65"/>
      <c r="BW65"/>
      <c r="BX65"/>
      <c r="BY65"/>
      <c r="BZ65"/>
      <c r="CA65"/>
      <c r="CB65"/>
      <c r="CC65"/>
      <c r="CD65"/>
      <c r="CE65"/>
      <c r="CF65"/>
      <c r="CG65"/>
      <c r="CH65"/>
      <c r="CI65"/>
      <c r="CJ65"/>
      <c r="CK65"/>
      <c r="CL65"/>
      <c r="CM65"/>
      <c r="CN65"/>
      <c r="CO65"/>
      <c r="CP65"/>
      <c r="CQ65"/>
      <c r="CR65"/>
      <c r="CS65"/>
      <c r="CT65"/>
      <c r="CU65"/>
      <c r="CV65"/>
      <c r="CW65"/>
      <c r="CX65"/>
      <c r="CY65"/>
      <c r="CZ65"/>
      <c r="DA65"/>
      <c r="DB65"/>
      <c r="DC65"/>
      <c r="DD65"/>
      <c r="DE65"/>
      <c r="DF65"/>
      <c r="DG65"/>
      <c r="DH65"/>
      <c r="DI65"/>
      <c r="DJ65"/>
      <c r="DK65"/>
      <c r="DL65"/>
      <c r="DM65"/>
      <c r="DN65"/>
      <c r="DO65"/>
      <c r="DP65"/>
      <c r="DQ65"/>
      <c r="DR65"/>
      <c r="DS65"/>
      <c r="DT65"/>
      <c r="DU65"/>
      <c r="DV65"/>
      <c r="DW65"/>
      <c r="DX65"/>
      <c r="DY65"/>
      <c r="DZ65"/>
      <c r="EA65"/>
      <c r="EB65"/>
      <c r="EC65"/>
      <c r="ED65"/>
      <c r="EE65"/>
      <c r="EF65"/>
      <c r="EG65"/>
      <c r="EH65"/>
      <c r="EI65"/>
      <c r="EJ65"/>
      <c r="EK65"/>
      <c r="EL65"/>
      <c r="EM65"/>
      <c r="EN65"/>
      <c r="EO65"/>
      <c r="EP65"/>
      <c r="EQ65"/>
      <c r="ER65"/>
      <c r="ES65"/>
      <c r="ET65"/>
      <c r="EU65"/>
      <c r="EV65"/>
      <c r="EW65"/>
      <c r="EX65"/>
      <c r="EY65"/>
      <c r="EZ65"/>
      <c r="FA65"/>
      <c r="FB65"/>
      <c r="FC65"/>
      <c r="FD65"/>
      <c r="FE65"/>
      <c r="FF65"/>
      <c r="FG65"/>
      <c r="FH65"/>
      <c r="FI65"/>
      <c r="FJ65"/>
      <c r="FK65"/>
      <c r="FL65"/>
      <c r="FM65"/>
      <c r="FN65"/>
      <c r="FO65"/>
      <c r="FP65"/>
      <c r="FQ65"/>
      <c r="FR65"/>
      <c r="FS65"/>
      <c r="FT65"/>
      <c r="FU65"/>
      <c r="FV65"/>
      <c r="FW65"/>
      <c r="FX65"/>
      <c r="FY65"/>
      <c r="FZ65"/>
      <c r="GA65"/>
      <c r="GB65"/>
      <c r="GC65"/>
      <c r="GD65"/>
      <c r="GE65"/>
      <c r="GF65"/>
      <c r="GG65"/>
      <c r="GH65"/>
      <c r="GI65"/>
      <c r="GJ65"/>
      <c r="GK65"/>
      <c r="GL65"/>
      <c r="GM65"/>
      <c r="GN65"/>
      <c r="GO65"/>
      <c r="GP65"/>
      <c r="GQ65"/>
      <c r="GR65"/>
      <c r="GS65"/>
      <c r="GT65"/>
      <c r="GU65"/>
      <c r="GV65"/>
      <c r="GW65"/>
    </row>
    <row r="66" spans="1:205" s="66" customFormat="1" ht="30" customHeight="1" thickBot="1" x14ac:dyDescent="0.3">
      <c r="A66" s="16"/>
      <c r="B66" s="17"/>
      <c r="C66" s="17"/>
      <c r="D66" s="478" t="str">
        <f>Taux!R19</f>
        <v>Moins de 65 ans</v>
      </c>
      <c r="E66" s="479"/>
      <c r="F66" s="479"/>
      <c r="G66" s="479"/>
      <c r="H66" s="479"/>
      <c r="I66" s="479"/>
      <c r="J66" s="479"/>
      <c r="K66" s="480"/>
      <c r="L66" s="430"/>
      <c r="M66" s="70"/>
      <c r="N66" s="70"/>
      <c r="O66" s="70"/>
      <c r="P66" s="70"/>
      <c r="Q66" s="70"/>
      <c r="R66" s="70"/>
      <c r="S66" s="70"/>
      <c r="T66" s="70"/>
      <c r="U66" s="73"/>
      <c r="V66" s="17"/>
      <c r="W66" s="71"/>
      <c r="X66" s="71"/>
      <c r="Y66" s="71"/>
      <c r="Z66" s="22"/>
      <c r="AA66" s="22"/>
      <c r="AB66" s="23" t="s">
        <v>273</v>
      </c>
      <c r="AC66" s="225">
        <f>IF(AND(F61="",X57=""),ROUND(V68*V63/1000,2)+V70,0)</f>
        <v>0</v>
      </c>
      <c r="AD66" s="19"/>
      <c r="AE66"/>
      <c r="AF66"/>
      <c r="AG66"/>
      <c r="AH66"/>
      <c r="AI66"/>
      <c r="AJ66" s="105"/>
      <c r="AK66"/>
      <c r="AL66"/>
      <c r="AM66"/>
      <c r="AN66"/>
      <c r="AO66"/>
      <c r="AP66"/>
      <c r="AQ66"/>
      <c r="AR66"/>
      <c r="AS66"/>
      <c r="AT66"/>
      <c r="AU66"/>
      <c r="AV66"/>
      <c r="AW66"/>
      <c r="AX66"/>
      <c r="AY66"/>
      <c r="AZ66"/>
      <c r="BA66"/>
      <c r="BB66"/>
      <c r="BC66"/>
      <c r="BD66"/>
      <c r="BE66"/>
      <c r="BF66"/>
      <c r="BG66"/>
      <c r="BH66"/>
      <c r="BI66"/>
      <c r="BJ66"/>
      <c r="BK66"/>
      <c r="BL66"/>
      <c r="BM66"/>
      <c r="BN66"/>
      <c r="BO66"/>
      <c r="BP66"/>
      <c r="BQ66"/>
      <c r="BR66"/>
      <c r="BS66"/>
      <c r="BT66"/>
      <c r="BU66"/>
      <c r="BV66"/>
      <c r="BW66"/>
      <c r="BX66"/>
      <c r="BY66"/>
      <c r="BZ66"/>
      <c r="CA66"/>
      <c r="CB66"/>
      <c r="CC66"/>
      <c r="CD66"/>
      <c r="CE66"/>
      <c r="CF66"/>
      <c r="CG66"/>
      <c r="CH66"/>
      <c r="CI66"/>
      <c r="CJ66"/>
      <c r="CK66"/>
      <c r="CL66"/>
      <c r="CM66"/>
      <c r="CN66"/>
      <c r="CO66"/>
      <c r="CP66"/>
      <c r="CQ66"/>
      <c r="CR66"/>
      <c r="CS66"/>
      <c r="CT66"/>
      <c r="CU66"/>
      <c r="CV66"/>
      <c r="CW66"/>
      <c r="CX66"/>
      <c r="CY66"/>
      <c r="CZ66"/>
      <c r="DA66"/>
      <c r="DB66"/>
      <c r="DC66"/>
      <c r="DD66"/>
      <c r="DE66"/>
      <c r="DF66"/>
      <c r="DG66"/>
      <c r="DH66"/>
      <c r="DI66"/>
      <c r="DJ66"/>
      <c r="DK66"/>
      <c r="DL66"/>
      <c r="DM66"/>
      <c r="DN66"/>
      <c r="DO66"/>
      <c r="DP66"/>
      <c r="DQ66"/>
      <c r="DR66"/>
      <c r="DS66"/>
      <c r="DT66"/>
      <c r="DU66"/>
      <c r="DV66"/>
      <c r="DW66"/>
      <c r="DX66"/>
      <c r="DY66"/>
      <c r="DZ66"/>
      <c r="EA66"/>
      <c r="EB66"/>
      <c r="EC66"/>
      <c r="ED66"/>
      <c r="EE66"/>
      <c r="EF66"/>
      <c r="EG66"/>
      <c r="EH66"/>
      <c r="EI66"/>
      <c r="EJ66"/>
      <c r="EK66"/>
      <c r="EL66"/>
      <c r="EM66"/>
      <c r="EN66"/>
      <c r="EO66"/>
      <c r="EP66"/>
      <c r="EQ66"/>
      <c r="ER66"/>
      <c r="ES66"/>
      <c r="ET66"/>
      <c r="EU66"/>
      <c r="EV66"/>
      <c r="EW66"/>
      <c r="EX66"/>
      <c r="EY66"/>
      <c r="EZ66"/>
      <c r="FA66"/>
      <c r="FB66"/>
      <c r="FC66"/>
      <c r="FD66"/>
      <c r="FE66"/>
      <c r="FF66"/>
      <c r="FG66"/>
      <c r="FH66"/>
      <c r="FI66"/>
      <c r="FJ66"/>
      <c r="FK66"/>
      <c r="FL66"/>
      <c r="FM66"/>
      <c r="FN66"/>
      <c r="FO66"/>
      <c r="FP66"/>
      <c r="FQ66"/>
      <c r="FR66"/>
      <c r="FS66"/>
      <c r="FT66"/>
      <c r="FU66"/>
      <c r="FV66"/>
      <c r="FW66"/>
      <c r="FX66"/>
      <c r="FY66"/>
      <c r="FZ66"/>
      <c r="GA66"/>
      <c r="GB66"/>
      <c r="GC66"/>
      <c r="GD66"/>
      <c r="GE66"/>
      <c r="GF66"/>
      <c r="GG66"/>
      <c r="GH66"/>
      <c r="GI66"/>
      <c r="GJ66"/>
      <c r="GK66"/>
      <c r="GL66"/>
      <c r="GM66"/>
      <c r="GN66"/>
      <c r="GO66"/>
      <c r="GP66"/>
      <c r="GQ66"/>
      <c r="GR66"/>
      <c r="GS66"/>
      <c r="GT66"/>
      <c r="GU66"/>
      <c r="GV66"/>
      <c r="GW66"/>
    </row>
    <row r="67" spans="1:205" s="66" customFormat="1" ht="3.75" customHeight="1" thickBot="1" x14ac:dyDescent="0.3">
      <c r="A67" s="16"/>
      <c r="B67" s="17"/>
      <c r="C67" s="17"/>
      <c r="D67" s="17"/>
      <c r="E67" s="17"/>
      <c r="F67" s="17"/>
      <c r="G67" s="17"/>
      <c r="H67" s="17"/>
      <c r="I67" s="17"/>
      <c r="J67" s="17"/>
      <c r="K67" s="17"/>
      <c r="L67" s="430"/>
      <c r="M67" s="17"/>
      <c r="N67" s="17"/>
      <c r="O67" s="17"/>
      <c r="P67" s="17"/>
      <c r="Q67" s="17"/>
      <c r="R67" s="17"/>
      <c r="S67" s="17"/>
      <c r="T67" s="17"/>
      <c r="U67" s="17"/>
      <c r="V67" s="74"/>
      <c r="W67" s="75"/>
      <c r="X67" s="17"/>
      <c r="Y67" s="17"/>
      <c r="Z67" s="22"/>
      <c r="AA67" s="22"/>
      <c r="AB67" s="22"/>
      <c r="AC67" s="22"/>
      <c r="AD67" s="19"/>
      <c r="AE67"/>
      <c r="AF67"/>
      <c r="AG67"/>
      <c r="AH67"/>
      <c r="AI67"/>
      <c r="AJ67"/>
      <c r="AK67"/>
      <c r="AL67"/>
      <c r="AM67"/>
      <c r="AN67"/>
      <c r="AO67"/>
      <c r="AP67"/>
      <c r="AQ67"/>
      <c r="AR67"/>
      <c r="AS67"/>
      <c r="AT67"/>
      <c r="AU67"/>
      <c r="AV67"/>
      <c r="AW67"/>
      <c r="AX67"/>
      <c r="AY67"/>
      <c r="AZ67"/>
      <c r="BA67"/>
      <c r="BB67"/>
      <c r="BC67"/>
      <c r="BD67"/>
      <c r="BE67"/>
      <c r="BF67"/>
      <c r="BG67"/>
      <c r="BH67"/>
      <c r="BI67"/>
      <c r="BJ67"/>
      <c r="BK67"/>
      <c r="BL67"/>
      <c r="BM67"/>
      <c r="BN67"/>
      <c r="BO67"/>
      <c r="BP67"/>
      <c r="BQ67"/>
      <c r="BR67"/>
      <c r="BS67"/>
      <c r="BT67"/>
      <c r="BU67"/>
      <c r="BV67"/>
      <c r="BW67"/>
      <c r="BX67"/>
      <c r="BY67"/>
      <c r="BZ67"/>
      <c r="CA67"/>
      <c r="CB67"/>
      <c r="CC67"/>
      <c r="CD67"/>
      <c r="CE67"/>
      <c r="CF67"/>
      <c r="CG67"/>
      <c r="CH67"/>
      <c r="CI67"/>
      <c r="CJ67"/>
      <c r="CK67"/>
      <c r="CL67"/>
      <c r="CM67"/>
      <c r="CN67"/>
      <c r="CO67"/>
      <c r="CP67"/>
      <c r="CQ67"/>
      <c r="CR67"/>
      <c r="CS67"/>
      <c r="CT67"/>
      <c r="CU67"/>
      <c r="CV67"/>
      <c r="CW67"/>
      <c r="CX67"/>
      <c r="CY67"/>
      <c r="CZ67"/>
      <c r="DA67"/>
      <c r="DB67"/>
      <c r="DC67"/>
      <c r="DD67"/>
      <c r="DE67"/>
      <c r="DF67"/>
      <c r="DG67"/>
      <c r="DH67"/>
      <c r="DI67"/>
      <c r="DJ67"/>
      <c r="DK67"/>
      <c r="DL67"/>
      <c r="DM67"/>
      <c r="DN67"/>
      <c r="DO67"/>
      <c r="DP67"/>
      <c r="DQ67"/>
      <c r="DR67"/>
      <c r="DS67"/>
      <c r="DT67"/>
      <c r="DU67"/>
      <c r="DV67"/>
      <c r="DW67"/>
      <c r="DX67"/>
      <c r="DY67"/>
      <c r="DZ67"/>
      <c r="EA67"/>
      <c r="EB67"/>
      <c r="EC67"/>
      <c r="ED67"/>
      <c r="EE67"/>
      <c r="EF67"/>
      <c r="EG67"/>
      <c r="EH67"/>
      <c r="EI67"/>
      <c r="EJ67"/>
      <c r="EK67"/>
      <c r="EL67"/>
      <c r="EM67"/>
      <c r="EN67"/>
      <c r="EO67"/>
      <c r="EP67"/>
      <c r="EQ67"/>
      <c r="ER67"/>
      <c r="ES67"/>
      <c r="ET67"/>
      <c r="EU67"/>
      <c r="EV67"/>
      <c r="EW67"/>
      <c r="EX67"/>
      <c r="EY67"/>
      <c r="EZ67"/>
      <c r="FA67"/>
      <c r="FB67"/>
      <c r="FC67"/>
      <c r="FD67"/>
      <c r="FE67"/>
      <c r="FF67"/>
      <c r="FG67"/>
      <c r="FH67"/>
      <c r="FI67"/>
      <c r="FJ67"/>
      <c r="FK67"/>
      <c r="FL67"/>
      <c r="FM67"/>
      <c r="FN67"/>
      <c r="FO67"/>
      <c r="FP67"/>
      <c r="FQ67"/>
      <c r="FR67"/>
      <c r="FS67"/>
      <c r="FT67"/>
      <c r="FU67"/>
      <c r="FV67"/>
      <c r="FW67"/>
      <c r="FX67"/>
      <c r="FY67"/>
      <c r="FZ67"/>
      <c r="GA67"/>
      <c r="GB67"/>
      <c r="GC67"/>
      <c r="GD67"/>
      <c r="GE67"/>
      <c r="GF67"/>
      <c r="GG67"/>
      <c r="GH67"/>
      <c r="GI67"/>
      <c r="GJ67"/>
      <c r="GK67"/>
      <c r="GL67"/>
      <c r="GM67"/>
      <c r="GN67"/>
      <c r="GO67"/>
      <c r="GP67"/>
      <c r="GQ67"/>
      <c r="GR67"/>
      <c r="GS67"/>
      <c r="GT67"/>
      <c r="GU67"/>
      <c r="GV67"/>
      <c r="GW67"/>
    </row>
    <row r="68" spans="1:205" s="66" customFormat="1" ht="30" customHeight="1" thickBot="1" x14ac:dyDescent="0.3">
      <c r="A68" s="16"/>
      <c r="B68" s="17"/>
      <c r="C68" s="17"/>
      <c r="D68" s="17"/>
      <c r="E68" s="17"/>
      <c r="F68" s="17"/>
      <c r="G68" s="17"/>
      <c r="H68" s="17"/>
      <c r="I68" s="17"/>
      <c r="J68" s="17"/>
      <c r="K68" s="17"/>
      <c r="L68" s="430"/>
      <c r="M68" s="70"/>
      <c r="N68" s="437" t="s">
        <v>321</v>
      </c>
      <c r="O68" s="437"/>
      <c r="P68" s="437"/>
      <c r="Q68" s="437"/>
      <c r="R68" s="437"/>
      <c r="S68" s="437"/>
      <c r="T68" s="437"/>
      <c r="U68" s="438"/>
      <c r="V68" s="232">
        <f>Taux!L20</f>
        <v>0</v>
      </c>
      <c r="W68" s="76"/>
      <c r="X68" s="71"/>
      <c r="Y68" s="71"/>
      <c r="Z68" s="22"/>
      <c r="AA68" s="22"/>
      <c r="AB68" s="23" t="s">
        <v>271</v>
      </c>
      <c r="AC68" s="225">
        <f>26*AC66</f>
        <v>0</v>
      </c>
      <c r="AD68" s="19"/>
      <c r="AE68"/>
      <c r="AF68"/>
      <c r="AG68"/>
      <c r="AH68"/>
      <c r="AI68"/>
      <c r="AJ68"/>
      <c r="AK68"/>
      <c r="AL68"/>
      <c r="AM68"/>
      <c r="AN68"/>
      <c r="AO68"/>
      <c r="AP68"/>
      <c r="AQ68"/>
      <c r="AR68"/>
      <c r="AS68"/>
      <c r="AT68"/>
      <c r="AU68"/>
      <c r="AV68"/>
      <c r="AW68"/>
      <c r="AX68"/>
      <c r="AY68"/>
      <c r="AZ68"/>
      <c r="BA68"/>
      <c r="BB68"/>
      <c r="BC68"/>
      <c r="BD68"/>
      <c r="BE68"/>
      <c r="BF68"/>
      <c r="BG68"/>
      <c r="BH68"/>
      <c r="BI68"/>
      <c r="BJ68"/>
      <c r="BK68"/>
      <c r="BL68"/>
      <c r="BM68"/>
      <c r="BN68"/>
      <c r="BO68"/>
      <c r="BP68"/>
      <c r="BQ68"/>
      <c r="BR68"/>
      <c r="BS68"/>
      <c r="BT68"/>
      <c r="BU68"/>
      <c r="BV68"/>
      <c r="BW68"/>
      <c r="BX68"/>
      <c r="BY68"/>
      <c r="BZ68"/>
      <c r="CA68"/>
      <c r="CB68"/>
      <c r="CC68"/>
      <c r="CD68"/>
      <c r="CE68"/>
      <c r="CF68"/>
      <c r="CG68"/>
      <c r="CH68"/>
      <c r="CI68"/>
      <c r="CJ68"/>
      <c r="CK68"/>
      <c r="CL68"/>
      <c r="CM68"/>
      <c r="CN68"/>
      <c r="CO68"/>
      <c r="CP68"/>
      <c r="CQ68"/>
      <c r="CR68"/>
      <c r="CS68"/>
      <c r="CT68"/>
      <c r="CU68"/>
      <c r="CV68"/>
      <c r="CW68"/>
      <c r="CX68"/>
      <c r="CY68"/>
      <c r="CZ68"/>
      <c r="DA68"/>
      <c r="DB68"/>
      <c r="DC68"/>
      <c r="DD68"/>
      <c r="DE68"/>
      <c r="DF68"/>
      <c r="DG68"/>
      <c r="DH68"/>
      <c r="DI68"/>
      <c r="DJ68"/>
      <c r="DK68"/>
      <c r="DL68"/>
      <c r="DM68"/>
      <c r="DN68"/>
      <c r="DO68"/>
      <c r="DP68"/>
      <c r="DQ68"/>
      <c r="DR68"/>
      <c r="DS68"/>
      <c r="DT68"/>
      <c r="DU68"/>
      <c r="DV68"/>
      <c r="DW68"/>
      <c r="DX68"/>
      <c r="DY68"/>
      <c r="DZ68"/>
      <c r="EA68"/>
      <c r="EB68"/>
      <c r="EC68"/>
      <c r="ED68"/>
      <c r="EE68"/>
      <c r="EF68"/>
      <c r="EG68"/>
      <c r="EH68"/>
      <c r="EI68"/>
      <c r="EJ68"/>
      <c r="EK68"/>
      <c r="EL68"/>
      <c r="EM68"/>
      <c r="EN68"/>
      <c r="EO68"/>
      <c r="EP68"/>
      <c r="EQ68"/>
      <c r="ER68"/>
      <c r="ES68"/>
      <c r="ET68"/>
      <c r="EU68"/>
      <c r="EV68"/>
      <c r="EW68"/>
      <c r="EX68"/>
      <c r="EY68"/>
      <c r="EZ68"/>
      <c r="FA68"/>
      <c r="FB68"/>
      <c r="FC68"/>
      <c r="FD68"/>
      <c r="FE68"/>
      <c r="FF68"/>
      <c r="FG68"/>
      <c r="FH68"/>
      <c r="FI68"/>
      <c r="FJ68"/>
      <c r="FK68"/>
      <c r="FL68"/>
      <c r="FM68"/>
      <c r="FN68"/>
      <c r="FO68"/>
      <c r="FP68"/>
      <c r="FQ68"/>
      <c r="FR68"/>
      <c r="FS68"/>
      <c r="FT68"/>
      <c r="FU68"/>
      <c r="FV68"/>
      <c r="FW68"/>
      <c r="FX68"/>
      <c r="FY68"/>
      <c r="FZ68"/>
      <c r="GA68"/>
      <c r="GB68"/>
      <c r="GC68"/>
      <c r="GD68"/>
      <c r="GE68"/>
      <c r="GF68"/>
      <c r="GG68"/>
      <c r="GH68"/>
      <c r="GI68"/>
      <c r="GJ68"/>
      <c r="GK68"/>
      <c r="GL68"/>
      <c r="GM68"/>
      <c r="GN68"/>
      <c r="GO68"/>
      <c r="GP68"/>
      <c r="GQ68"/>
      <c r="GR68"/>
      <c r="GS68"/>
      <c r="GT68"/>
      <c r="GU68"/>
      <c r="GV68"/>
      <c r="GW68"/>
    </row>
    <row r="69" spans="1:205" s="66" customFormat="1" ht="3.75" customHeight="1" thickBot="1" x14ac:dyDescent="0.3">
      <c r="A69" s="16"/>
      <c r="B69" s="17"/>
      <c r="C69" s="17"/>
      <c r="D69" s="17"/>
      <c r="E69" s="17"/>
      <c r="F69" s="17"/>
      <c r="G69" s="17"/>
      <c r="H69" s="17"/>
      <c r="I69" s="17"/>
      <c r="J69" s="17"/>
      <c r="K69" s="17"/>
      <c r="L69" s="430"/>
      <c r="M69" s="17"/>
      <c r="N69" s="124"/>
      <c r="O69" s="124"/>
      <c r="P69" s="124"/>
      <c r="Q69" s="124"/>
      <c r="R69" s="124"/>
      <c r="S69" s="124"/>
      <c r="T69" s="124"/>
      <c r="U69" s="124"/>
      <c r="V69" s="17"/>
      <c r="W69" s="17"/>
      <c r="X69" s="17"/>
      <c r="Y69" s="17"/>
      <c r="Z69" s="71"/>
      <c r="AA69" s="312"/>
      <c r="AB69" s="71"/>
      <c r="AC69" s="71"/>
      <c r="AD69" s="19"/>
      <c r="AE69"/>
      <c r="AF69"/>
      <c r="AG69"/>
      <c r="AH69"/>
      <c r="AI69"/>
      <c r="AJ69"/>
      <c r="AK69"/>
      <c r="AL69"/>
      <c r="AM69"/>
      <c r="AN69"/>
      <c r="AO69"/>
      <c r="AP69"/>
      <c r="AQ69"/>
      <c r="AR69"/>
      <c r="AS69"/>
      <c r="AT69"/>
      <c r="AU69"/>
      <c r="AV69"/>
      <c r="AW69"/>
      <c r="AX69"/>
      <c r="AY69"/>
      <c r="AZ69"/>
      <c r="BA69"/>
      <c r="BB69"/>
      <c r="BC69"/>
      <c r="BD69"/>
      <c r="BE69"/>
      <c r="BF69"/>
      <c r="BG69"/>
      <c r="BH69"/>
      <c r="BI69"/>
      <c r="BJ69"/>
      <c r="BK69"/>
      <c r="BL69"/>
      <c r="BM69"/>
      <c r="BN69"/>
      <c r="BO69"/>
      <c r="BP69"/>
      <c r="BQ69"/>
      <c r="BR69"/>
      <c r="BS69"/>
      <c r="BT69"/>
      <c r="BU69"/>
      <c r="BV69"/>
      <c r="BW69"/>
      <c r="BX69"/>
      <c r="BY69"/>
      <c r="BZ69"/>
      <c r="CA69"/>
      <c r="CB69"/>
      <c r="CC69"/>
      <c r="CD69"/>
      <c r="CE69"/>
      <c r="CF69"/>
      <c r="CG69"/>
      <c r="CH69"/>
      <c r="CI69"/>
      <c r="CJ69"/>
      <c r="CK69"/>
      <c r="CL69"/>
      <c r="CM69"/>
      <c r="CN69"/>
      <c r="CO69"/>
      <c r="CP69"/>
      <c r="CQ69"/>
      <c r="CR69"/>
      <c r="CS69"/>
      <c r="CT69"/>
      <c r="CU69"/>
      <c r="CV69"/>
      <c r="CW69"/>
      <c r="CX69"/>
      <c r="CY69"/>
      <c r="CZ69"/>
      <c r="DA69"/>
      <c r="DB69"/>
      <c r="DC69"/>
      <c r="DD69"/>
      <c r="DE69"/>
      <c r="DF69"/>
      <c r="DG69"/>
      <c r="DH69"/>
      <c r="DI69"/>
      <c r="DJ69"/>
      <c r="DK69"/>
      <c r="DL69"/>
      <c r="DM69"/>
      <c r="DN69"/>
      <c r="DO69"/>
      <c r="DP69"/>
      <c r="DQ69"/>
      <c r="DR69"/>
      <c r="DS69"/>
      <c r="DT69"/>
      <c r="DU69"/>
      <c r="DV69"/>
      <c r="DW69"/>
      <c r="DX69"/>
      <c r="DY69"/>
      <c r="DZ69"/>
      <c r="EA69"/>
      <c r="EB69"/>
      <c r="EC69"/>
      <c r="ED69"/>
      <c r="EE69"/>
      <c r="EF69"/>
      <c r="EG69"/>
      <c r="EH69"/>
      <c r="EI69"/>
      <c r="EJ69"/>
      <c r="EK69"/>
      <c r="EL69"/>
      <c r="EM69"/>
      <c r="EN69"/>
      <c r="EO69"/>
      <c r="EP69"/>
      <c r="EQ69"/>
      <c r="ER69"/>
      <c r="ES69"/>
      <c r="ET69"/>
      <c r="EU69"/>
      <c r="EV69"/>
      <c r="EW69"/>
      <c r="EX69"/>
      <c r="EY69"/>
      <c r="EZ69"/>
      <c r="FA69"/>
      <c r="FB69"/>
      <c r="FC69"/>
      <c r="FD69"/>
      <c r="FE69"/>
      <c r="FF69"/>
      <c r="FG69"/>
      <c r="FH69"/>
      <c r="FI69"/>
      <c r="FJ69"/>
      <c r="FK69"/>
      <c r="FL69"/>
      <c r="FM69"/>
      <c r="FN69"/>
      <c r="FO69"/>
      <c r="FP69"/>
      <c r="FQ69"/>
      <c r="FR69"/>
      <c r="FS69"/>
      <c r="FT69"/>
      <c r="FU69"/>
      <c r="FV69"/>
      <c r="FW69"/>
      <c r="FX69"/>
      <c r="FY69"/>
      <c r="FZ69"/>
      <c r="GA69"/>
      <c r="GB69"/>
      <c r="GC69"/>
      <c r="GD69"/>
      <c r="GE69"/>
      <c r="GF69"/>
      <c r="GG69"/>
      <c r="GH69"/>
      <c r="GI69"/>
      <c r="GJ69"/>
      <c r="GK69"/>
      <c r="GL69"/>
      <c r="GM69"/>
      <c r="GN69"/>
      <c r="GO69"/>
      <c r="GP69"/>
      <c r="GQ69"/>
      <c r="GR69"/>
      <c r="GS69"/>
      <c r="GT69"/>
      <c r="GU69"/>
      <c r="GV69"/>
      <c r="GW69"/>
    </row>
    <row r="70" spans="1:205" s="66" customFormat="1" ht="30" customHeight="1" thickBot="1" x14ac:dyDescent="0.3">
      <c r="A70" s="16"/>
      <c r="B70" s="17"/>
      <c r="C70" s="17"/>
      <c r="D70" s="17"/>
      <c r="E70" s="17"/>
      <c r="F70" s="17"/>
      <c r="G70" s="17"/>
      <c r="H70" s="17"/>
      <c r="I70" s="17"/>
      <c r="J70" s="17"/>
      <c r="K70" s="17"/>
      <c r="L70" s="430"/>
      <c r="M70" s="70"/>
      <c r="N70" s="441" t="s">
        <v>302</v>
      </c>
      <c r="O70" s="441"/>
      <c r="P70" s="441"/>
      <c r="Q70" s="441"/>
      <c r="R70" s="441"/>
      <c r="S70" s="441"/>
      <c r="T70" s="441"/>
      <c r="U70" s="442"/>
      <c r="V70" s="233">
        <f>IF(Taux!L18=Taux!L15,Taux!Q16,0)</f>
        <v>0</v>
      </c>
      <c r="W70" s="77"/>
      <c r="X70" s="71"/>
      <c r="Y70" s="71"/>
      <c r="Z70" s="71"/>
      <c r="AA70" s="22"/>
      <c r="AB70" s="71"/>
      <c r="AC70" s="342" t="str">
        <f xml:space="preserve"> IF(AC66&gt;0,"Ce cout tient compte d'un congé de prime de 50 %, mais n'inclut pas la taxe de vente de 9 %","")</f>
        <v/>
      </c>
      <c r="AD70" s="19"/>
      <c r="AE70"/>
      <c r="AF70"/>
      <c r="AG70" s="105"/>
      <c r="AH70"/>
      <c r="AI70"/>
      <c r="AJ70"/>
      <c r="AK70"/>
      <c r="AL70"/>
      <c r="AM70"/>
      <c r="AN70"/>
      <c r="AO70"/>
      <c r="AP70"/>
      <c r="AQ70"/>
      <c r="AR70"/>
      <c r="AS70"/>
      <c r="AT70"/>
      <c r="AU70"/>
      <c r="AV70"/>
      <c r="AW70"/>
      <c r="AX70"/>
      <c r="AY70"/>
      <c r="AZ70"/>
      <c r="BA70"/>
      <c r="BB70"/>
      <c r="BC70"/>
      <c r="BD70"/>
      <c r="BE70"/>
      <c r="BF70"/>
      <c r="BG70"/>
      <c r="BH70"/>
      <c r="BI70"/>
      <c r="BJ70"/>
      <c r="BK70"/>
      <c r="BL70"/>
      <c r="BM70"/>
      <c r="BN70"/>
      <c r="BO70"/>
      <c r="BP70"/>
      <c r="BQ70"/>
      <c r="BR70"/>
      <c r="BS70"/>
      <c r="BT70"/>
      <c r="BU70"/>
      <c r="BV70"/>
      <c r="BW70"/>
      <c r="BX70"/>
      <c r="BY70"/>
      <c r="BZ70"/>
      <c r="CA70"/>
      <c r="CB70"/>
      <c r="CC70"/>
      <c r="CD70"/>
      <c r="CE70"/>
      <c r="CF70"/>
      <c r="CG70"/>
      <c r="CH70"/>
      <c r="CI70"/>
      <c r="CJ70"/>
      <c r="CK70"/>
      <c r="CL70"/>
      <c r="CM70"/>
      <c r="CN70"/>
      <c r="CO70"/>
      <c r="CP70"/>
      <c r="CQ70"/>
      <c r="CR70"/>
      <c r="CS70"/>
      <c r="CT70"/>
      <c r="CU70"/>
      <c r="CV70"/>
      <c r="CW70"/>
      <c r="CX70"/>
      <c r="CY70"/>
      <c r="CZ70"/>
      <c r="DA70"/>
      <c r="DB70"/>
      <c r="DC70"/>
      <c r="DD70"/>
      <c r="DE70"/>
      <c r="DF70"/>
      <c r="DG70"/>
      <c r="DH70"/>
      <c r="DI70"/>
      <c r="DJ70"/>
      <c r="DK70"/>
      <c r="DL70"/>
      <c r="DM70"/>
      <c r="DN70"/>
      <c r="DO70"/>
      <c r="DP70"/>
      <c r="DQ70"/>
      <c r="DR70"/>
      <c r="DS70"/>
      <c r="DT70"/>
      <c r="DU70"/>
      <c r="DV70"/>
      <c r="DW70"/>
      <c r="DX70"/>
      <c r="DY70"/>
      <c r="DZ70"/>
      <c r="EA70"/>
      <c r="EB70"/>
      <c r="EC70"/>
      <c r="ED70"/>
      <c r="EE70"/>
      <c r="EF70"/>
      <c r="EG70"/>
      <c r="EH70"/>
      <c r="EI70"/>
      <c r="EJ70"/>
      <c r="EK70"/>
      <c r="EL70"/>
      <c r="EM70"/>
      <c r="EN70"/>
      <c r="EO70"/>
      <c r="EP70"/>
      <c r="EQ70"/>
      <c r="ER70"/>
      <c r="ES70"/>
      <c r="ET70"/>
      <c r="EU70"/>
      <c r="EV70"/>
      <c r="EW70"/>
      <c r="EX70"/>
      <c r="EY70"/>
      <c r="EZ70"/>
      <c r="FA70"/>
      <c r="FB70"/>
      <c r="FC70"/>
      <c r="FD70"/>
      <c r="FE70"/>
      <c r="FF70"/>
      <c r="FG70"/>
      <c r="FH70"/>
      <c r="FI70"/>
      <c r="FJ70"/>
      <c r="FK70"/>
      <c r="FL70"/>
      <c r="FM70"/>
      <c r="FN70"/>
      <c r="FO70"/>
      <c r="FP70"/>
      <c r="FQ70"/>
      <c r="FR70"/>
      <c r="FS70"/>
      <c r="FT70"/>
      <c r="FU70"/>
      <c r="FV70"/>
      <c r="FW70"/>
      <c r="FX70"/>
      <c r="FY70"/>
      <c r="FZ70"/>
      <c r="GA70"/>
      <c r="GB70"/>
      <c r="GC70"/>
      <c r="GD70"/>
      <c r="GE70"/>
      <c r="GF70"/>
      <c r="GG70"/>
      <c r="GH70"/>
      <c r="GI70"/>
      <c r="GJ70"/>
      <c r="GK70"/>
      <c r="GL70"/>
      <c r="GM70"/>
      <c r="GN70"/>
      <c r="GO70"/>
      <c r="GP70"/>
      <c r="GQ70"/>
      <c r="GR70"/>
      <c r="GS70"/>
      <c r="GT70"/>
      <c r="GU70"/>
      <c r="GV70"/>
      <c r="GW70"/>
    </row>
    <row r="71" spans="1:205" s="66" customFormat="1" ht="3.75" customHeight="1" x14ac:dyDescent="0.25">
      <c r="A71" s="54"/>
      <c r="B71" s="78" t="s">
        <v>100</v>
      </c>
      <c r="C71" s="78"/>
      <c r="D71" s="55"/>
      <c r="E71" s="55"/>
      <c r="F71" s="55"/>
      <c r="G71" s="55"/>
      <c r="H71" s="55"/>
      <c r="I71" s="55"/>
      <c r="J71" s="55"/>
      <c r="K71" s="55"/>
      <c r="L71" s="55"/>
      <c r="M71" s="55"/>
      <c r="N71" s="55"/>
      <c r="O71" s="55"/>
      <c r="P71" s="55"/>
      <c r="Q71" s="55"/>
      <c r="R71" s="55"/>
      <c r="S71" s="55"/>
      <c r="T71" s="55"/>
      <c r="U71" s="55"/>
      <c r="V71" s="55"/>
      <c r="W71" s="55"/>
      <c r="X71" s="55"/>
      <c r="Y71" s="55"/>
      <c r="Z71" s="56"/>
      <c r="AA71" s="56"/>
      <c r="AB71" s="56"/>
      <c r="AC71" s="56"/>
      <c r="AD71" s="57"/>
      <c r="AE71"/>
      <c r="AF71"/>
      <c r="AG71"/>
      <c r="AH71"/>
      <c r="AI71"/>
      <c r="AJ71"/>
      <c r="AK71"/>
      <c r="AL71"/>
      <c r="AM71"/>
      <c r="AN71"/>
      <c r="AO71"/>
      <c r="AP71"/>
      <c r="AQ71"/>
      <c r="AR71"/>
      <c r="AS71"/>
      <c r="AT71"/>
      <c r="AU71"/>
      <c r="AV71"/>
      <c r="AW71"/>
      <c r="AX71"/>
      <c r="AY71"/>
      <c r="AZ71"/>
      <c r="BA71"/>
      <c r="BB71"/>
      <c r="BC71"/>
      <c r="BD71"/>
      <c r="BE71"/>
      <c r="BF71"/>
      <c r="BG71"/>
      <c r="BH71"/>
      <c r="BI71"/>
      <c r="BJ71"/>
      <c r="BK71"/>
      <c r="BL71"/>
      <c r="BM71"/>
      <c r="BN71"/>
      <c r="BO71"/>
      <c r="BP71"/>
      <c r="BQ71"/>
      <c r="BR71"/>
      <c r="BS71"/>
      <c r="BT71"/>
      <c r="BU71"/>
      <c r="BV71"/>
      <c r="BW71"/>
      <c r="BX71"/>
      <c r="BY71"/>
      <c r="BZ71"/>
      <c r="CA71"/>
      <c r="CB71"/>
      <c r="CC71"/>
      <c r="CD71"/>
      <c r="CE71"/>
      <c r="CF71"/>
      <c r="CG71"/>
      <c r="CH71"/>
      <c r="CI71"/>
      <c r="CJ71"/>
      <c r="CK71"/>
      <c r="CL71"/>
      <c r="CM71"/>
      <c r="CN71"/>
      <c r="CO71"/>
      <c r="CP71"/>
      <c r="CQ71"/>
      <c r="CR71"/>
      <c r="CS71"/>
      <c r="CT71"/>
      <c r="CU71"/>
      <c r="CV71"/>
      <c r="CW71"/>
      <c r="CX71"/>
      <c r="CY71"/>
      <c r="CZ71"/>
      <c r="DA71"/>
      <c r="DB71"/>
      <c r="DC71"/>
      <c r="DD71"/>
      <c r="DE71"/>
      <c r="DF71"/>
      <c r="DG71"/>
      <c r="DH71"/>
      <c r="DI71"/>
      <c r="DJ71"/>
      <c r="DK71"/>
      <c r="DL71"/>
      <c r="DM71"/>
      <c r="DN71"/>
      <c r="DO71"/>
      <c r="DP71"/>
      <c r="DQ71"/>
      <c r="DR71"/>
      <c r="DS71"/>
      <c r="DT71"/>
      <c r="DU71"/>
      <c r="DV71"/>
      <c r="DW71"/>
      <c r="DX71"/>
      <c r="DY71"/>
      <c r="DZ71"/>
      <c r="EA71"/>
      <c r="EB71"/>
      <c r="EC71"/>
      <c r="ED71"/>
      <c r="EE71"/>
      <c r="EF71"/>
      <c r="EG71"/>
      <c r="EH71"/>
      <c r="EI71"/>
      <c r="EJ71"/>
      <c r="EK71"/>
      <c r="EL71"/>
      <c r="EM71"/>
      <c r="EN71"/>
      <c r="EO71"/>
      <c r="EP71"/>
      <c r="EQ71"/>
      <c r="ER71"/>
      <c r="ES71"/>
      <c r="ET71"/>
      <c r="EU71"/>
      <c r="EV71"/>
      <c r="EW71"/>
      <c r="EX71"/>
      <c r="EY71"/>
      <c r="EZ71"/>
      <c r="FA71"/>
      <c r="FB71"/>
      <c r="FC71"/>
      <c r="FD71"/>
      <c r="FE71"/>
      <c r="FF71"/>
      <c r="FG71"/>
      <c r="FH71"/>
      <c r="FI71"/>
      <c r="FJ71"/>
      <c r="FK71"/>
      <c r="FL71"/>
      <c r="FM71"/>
      <c r="FN71"/>
      <c r="FO71"/>
      <c r="FP71"/>
      <c r="FQ71"/>
      <c r="FR71"/>
      <c r="FS71"/>
      <c r="FT71"/>
      <c r="FU71"/>
      <c r="FV71"/>
      <c r="FW71"/>
      <c r="FX71"/>
      <c r="FY71"/>
      <c r="FZ71"/>
      <c r="GA71"/>
      <c r="GB71"/>
      <c r="GC71"/>
      <c r="GD71"/>
      <c r="GE71"/>
      <c r="GF71"/>
      <c r="GG71"/>
      <c r="GH71"/>
      <c r="GI71"/>
      <c r="GJ71"/>
      <c r="GK71"/>
      <c r="GL71"/>
      <c r="GM71"/>
      <c r="GN71"/>
      <c r="GO71"/>
      <c r="GP71"/>
      <c r="GQ71"/>
      <c r="GR71"/>
      <c r="GS71"/>
      <c r="GT71"/>
      <c r="GU71"/>
      <c r="GV71"/>
      <c r="GW71"/>
    </row>
    <row r="72" spans="1:205" s="80" customFormat="1" ht="30" customHeight="1" x14ac:dyDescent="0.35">
      <c r="A72" s="25"/>
      <c r="B72" s="31" t="s">
        <v>60</v>
      </c>
      <c r="C72" s="31"/>
      <c r="D72" s="33"/>
      <c r="E72" s="33"/>
      <c r="F72" s="33"/>
      <c r="G72" s="33"/>
      <c r="H72" s="33"/>
      <c r="I72" s="33"/>
      <c r="J72" s="33"/>
      <c r="K72" s="33"/>
      <c r="L72" s="33"/>
      <c r="M72" s="33"/>
      <c r="N72" s="33"/>
      <c r="O72" s="33"/>
      <c r="P72" s="33"/>
      <c r="Q72" s="33"/>
      <c r="R72" s="33"/>
      <c r="S72" s="33"/>
      <c r="T72" s="33"/>
      <c r="U72" s="33"/>
      <c r="V72" s="33"/>
      <c r="W72" s="79"/>
      <c r="X72" s="33"/>
      <c r="Y72" s="33"/>
      <c r="Z72" s="28"/>
      <c r="AA72" s="34"/>
      <c r="AB72" s="34"/>
      <c r="AC72" s="34"/>
      <c r="AD72" s="35"/>
      <c r="AE72"/>
      <c r="AF72"/>
      <c r="AG72"/>
      <c r="AH72"/>
      <c r="AI72"/>
      <c r="AJ72"/>
      <c r="AK72"/>
      <c r="AL72"/>
      <c r="AM72"/>
      <c r="AN72"/>
      <c r="AO72"/>
      <c r="AP72"/>
      <c r="AQ72"/>
      <c r="AR72"/>
      <c r="AS72"/>
      <c r="AT72"/>
      <c r="AU72"/>
      <c r="AV72"/>
      <c r="AW72"/>
      <c r="AX72"/>
      <c r="AY72"/>
      <c r="AZ72"/>
      <c r="BA72"/>
      <c r="BB72"/>
      <c r="BC72"/>
      <c r="BD72"/>
      <c r="BE72"/>
      <c r="BF72"/>
      <c r="BG72"/>
      <c r="BH72"/>
      <c r="BI72"/>
      <c r="BJ72"/>
      <c r="BK72"/>
      <c r="BL72"/>
      <c r="BM72"/>
      <c r="BN72"/>
      <c r="BO72"/>
      <c r="BP72"/>
      <c r="BQ72"/>
      <c r="BR72"/>
      <c r="BS72"/>
      <c r="BT72"/>
      <c r="BU72"/>
      <c r="BV72"/>
      <c r="BW72"/>
      <c r="BX72"/>
      <c r="BY72"/>
      <c r="BZ72"/>
      <c r="CA72"/>
      <c r="CB72"/>
      <c r="CC72"/>
      <c r="CD72"/>
      <c r="CE72"/>
      <c r="CF72"/>
      <c r="CG72"/>
      <c r="CH72"/>
      <c r="CI72"/>
      <c r="CJ72"/>
      <c r="CK72"/>
      <c r="CL72"/>
      <c r="CM72"/>
      <c r="CN72"/>
      <c r="CO72"/>
      <c r="CP72"/>
      <c r="CQ72"/>
      <c r="CR72"/>
      <c r="CS72"/>
      <c r="CT72"/>
      <c r="CU72"/>
      <c r="CV72"/>
      <c r="CW72"/>
      <c r="CX72"/>
      <c r="CY72"/>
      <c r="CZ72"/>
      <c r="DA72"/>
      <c r="DB72"/>
      <c r="DC72"/>
      <c r="DD72"/>
      <c r="DE72"/>
      <c r="DF72"/>
      <c r="DG72"/>
      <c r="DH72"/>
      <c r="DI72"/>
      <c r="DJ72"/>
      <c r="DK72"/>
      <c r="DL72"/>
      <c r="DM72"/>
      <c r="DN72"/>
      <c r="DO72"/>
      <c r="DP72"/>
      <c r="DQ72"/>
      <c r="DR72"/>
      <c r="DS72"/>
      <c r="DT72"/>
      <c r="DU72"/>
      <c r="DV72"/>
      <c r="DW72"/>
      <c r="DX72"/>
      <c r="DY72"/>
      <c r="DZ72"/>
      <c r="EA72"/>
      <c r="EB72"/>
      <c r="EC72"/>
      <c r="ED72"/>
      <c r="EE72"/>
      <c r="EF72"/>
      <c r="EG72"/>
      <c r="EH72"/>
      <c r="EI72"/>
      <c r="EJ72"/>
      <c r="EK72"/>
      <c r="EL72"/>
      <c r="EM72"/>
      <c r="EN72"/>
      <c r="EO72"/>
      <c r="EP72"/>
      <c r="EQ72"/>
      <c r="ER72"/>
      <c r="ES72"/>
      <c r="ET72"/>
      <c r="EU72"/>
      <c r="EV72"/>
      <c r="EW72"/>
      <c r="EX72"/>
      <c r="EY72"/>
      <c r="EZ72"/>
      <c r="FA72"/>
      <c r="FB72"/>
      <c r="FC72"/>
      <c r="FD72"/>
      <c r="FE72"/>
      <c r="FF72"/>
      <c r="FG72"/>
      <c r="FH72"/>
      <c r="FI72"/>
      <c r="FJ72"/>
      <c r="FK72"/>
      <c r="FL72"/>
      <c r="FM72"/>
      <c r="FN72"/>
      <c r="FO72"/>
      <c r="FP72"/>
      <c r="FQ72"/>
      <c r="FR72"/>
      <c r="FS72"/>
      <c r="FT72"/>
      <c r="FU72"/>
      <c r="FV72"/>
      <c r="FW72"/>
      <c r="FX72"/>
      <c r="FY72"/>
      <c r="FZ72"/>
      <c r="GA72"/>
      <c r="GB72"/>
      <c r="GC72"/>
      <c r="GD72"/>
      <c r="GE72"/>
      <c r="GF72"/>
      <c r="GG72"/>
      <c r="GH72"/>
      <c r="GI72"/>
      <c r="GJ72"/>
      <c r="GK72"/>
      <c r="GL72"/>
      <c r="GM72"/>
      <c r="GN72"/>
      <c r="GO72"/>
      <c r="GP72"/>
      <c r="GQ72"/>
      <c r="GR72"/>
      <c r="GS72"/>
      <c r="GT72"/>
      <c r="GU72"/>
      <c r="GV72"/>
      <c r="GW72"/>
    </row>
    <row r="73" spans="1:205" s="80" customFormat="1" ht="30" customHeight="1" thickBot="1" x14ac:dyDescent="0.4">
      <c r="A73" s="30"/>
      <c r="B73" s="33" t="s">
        <v>89</v>
      </c>
      <c r="C73" s="36"/>
      <c r="D73" s="34"/>
      <c r="E73" s="33"/>
      <c r="F73" s="33"/>
      <c r="G73" s="33"/>
      <c r="H73" s="33"/>
      <c r="I73" s="33"/>
      <c r="J73" s="33"/>
      <c r="K73" s="33"/>
      <c r="L73" s="33"/>
      <c r="M73" s="33"/>
      <c r="N73" s="33"/>
      <c r="O73" s="33"/>
      <c r="P73" s="33"/>
      <c r="Q73" s="33"/>
      <c r="R73" s="33"/>
      <c r="S73" s="33"/>
      <c r="T73" s="33"/>
      <c r="U73" s="33"/>
      <c r="V73" s="33"/>
      <c r="W73" s="79"/>
      <c r="X73" s="33"/>
      <c r="Y73" s="33"/>
      <c r="Z73" s="34"/>
      <c r="AA73" s="34"/>
      <c r="AB73" s="34"/>
      <c r="AC73" s="108"/>
      <c r="AD73" s="35"/>
      <c r="AE73"/>
      <c r="AF73"/>
      <c r="AG73"/>
      <c r="AH73"/>
      <c r="AI73"/>
      <c r="AJ73"/>
      <c r="AK73"/>
      <c r="AL73"/>
      <c r="AM73"/>
      <c r="AN73"/>
      <c r="AO73"/>
      <c r="AP73"/>
      <c r="AQ73"/>
      <c r="AR73"/>
      <c r="AS73"/>
      <c r="AT73"/>
      <c r="AU73"/>
      <c r="AV73"/>
      <c r="AW73"/>
      <c r="AX73"/>
      <c r="AY73"/>
      <c r="AZ73"/>
      <c r="BA73"/>
      <c r="BB73"/>
      <c r="BC73"/>
      <c r="BD73"/>
      <c r="BE73"/>
      <c r="BF73"/>
      <c r="BG73"/>
      <c r="BH73"/>
      <c r="BI73"/>
      <c r="BJ73"/>
      <c r="BK73"/>
      <c r="BL73"/>
      <c r="BM73"/>
      <c r="BN73"/>
      <c r="BO73"/>
      <c r="BP73"/>
      <c r="BQ73"/>
      <c r="BR73"/>
      <c r="BS73"/>
      <c r="BT73"/>
      <c r="BU73"/>
      <c r="BV73"/>
      <c r="BW73"/>
      <c r="BX73"/>
      <c r="BY73"/>
      <c r="BZ73"/>
      <c r="CA73"/>
      <c r="CB73"/>
      <c r="CC73"/>
      <c r="CD73"/>
      <c r="CE73"/>
      <c r="CF73"/>
      <c r="CG73"/>
      <c r="CH73"/>
      <c r="CI73"/>
      <c r="CJ73"/>
      <c r="CK73"/>
      <c r="CL73"/>
      <c r="CM73"/>
      <c r="CN73"/>
      <c r="CO73"/>
      <c r="CP73"/>
      <c r="CQ73"/>
      <c r="CR73"/>
      <c r="CS73"/>
      <c r="CT73"/>
      <c r="CU73"/>
      <c r="CV73"/>
      <c r="CW73"/>
      <c r="CX73"/>
      <c r="CY73"/>
      <c r="CZ73"/>
      <c r="DA73"/>
      <c r="DB73"/>
      <c r="DC73"/>
      <c r="DD73"/>
      <c r="DE73"/>
      <c r="DF73"/>
      <c r="DG73"/>
      <c r="DH73"/>
      <c r="DI73"/>
      <c r="DJ73"/>
      <c r="DK73"/>
      <c r="DL73"/>
      <c r="DM73"/>
      <c r="DN73"/>
      <c r="DO73"/>
      <c r="DP73"/>
      <c r="DQ73"/>
      <c r="DR73"/>
      <c r="DS73"/>
      <c r="DT73"/>
      <c r="DU73"/>
      <c r="DV73"/>
      <c r="DW73"/>
      <c r="DX73"/>
      <c r="DY73"/>
      <c r="DZ73"/>
      <c r="EA73"/>
      <c r="EB73"/>
      <c r="EC73"/>
      <c r="ED73"/>
      <c r="EE73"/>
      <c r="EF73"/>
      <c r="EG73"/>
      <c r="EH73"/>
      <c r="EI73"/>
      <c r="EJ73"/>
      <c r="EK73"/>
      <c r="EL73"/>
      <c r="EM73"/>
      <c r="EN73"/>
      <c r="EO73"/>
      <c r="EP73"/>
      <c r="EQ73"/>
      <c r="ER73"/>
      <c r="ES73"/>
      <c r="ET73"/>
      <c r="EU73"/>
      <c r="EV73"/>
      <c r="EW73"/>
      <c r="EX73"/>
      <c r="EY73"/>
      <c r="EZ73"/>
      <c r="FA73"/>
      <c r="FB73"/>
      <c r="FC73"/>
      <c r="FD73"/>
      <c r="FE73"/>
      <c r="FF73"/>
      <c r="FG73"/>
      <c r="FH73"/>
      <c r="FI73"/>
      <c r="FJ73"/>
      <c r="FK73"/>
      <c r="FL73"/>
      <c r="FM73"/>
      <c r="FN73"/>
      <c r="FO73"/>
      <c r="FP73"/>
      <c r="FQ73"/>
      <c r="FR73"/>
      <c r="FS73"/>
      <c r="FT73"/>
      <c r="FU73"/>
      <c r="FV73"/>
      <c r="FW73"/>
      <c r="FX73"/>
      <c r="FY73"/>
      <c r="FZ73"/>
      <c r="GA73"/>
      <c r="GB73"/>
      <c r="GC73"/>
      <c r="GD73"/>
      <c r="GE73"/>
      <c r="GF73"/>
      <c r="GG73"/>
      <c r="GH73"/>
      <c r="GI73"/>
      <c r="GJ73"/>
      <c r="GK73"/>
      <c r="GL73"/>
      <c r="GM73"/>
      <c r="GN73"/>
      <c r="GO73"/>
      <c r="GP73"/>
      <c r="GQ73"/>
      <c r="GR73"/>
      <c r="GS73"/>
      <c r="GT73"/>
      <c r="GU73"/>
      <c r="GV73"/>
      <c r="GW73"/>
    </row>
    <row r="74" spans="1:205" ht="30" customHeight="1" thickBot="1" x14ac:dyDescent="0.3">
      <c r="A74" s="30"/>
      <c r="B74" s="119"/>
      <c r="C74" s="33"/>
      <c r="D74" s="439" t="str">
        <f>Taux!L25</f>
        <v>Oui</v>
      </c>
      <c r="E74" s="440"/>
      <c r="F74" s="444" t="str">
        <f>IF(COUNTBLANK(B74:B76)&lt;2,"Il ne peut y avoir qu'un seul choix de réponse",IF(COUNTBLANK(B74:B76)=3,"Vous devez faire un choix de réponse",""))</f>
        <v>Vous devez faire un choix de réponse</v>
      </c>
      <c r="G74" s="444"/>
      <c r="H74" s="444"/>
      <c r="I74" s="444"/>
      <c r="J74" s="444"/>
      <c r="K74" s="444"/>
      <c r="L74" s="33"/>
      <c r="M74" s="33"/>
      <c r="N74" s="33"/>
      <c r="O74" s="33"/>
      <c r="P74" s="33"/>
      <c r="Q74" s="79"/>
      <c r="R74" s="33"/>
      <c r="S74" s="33"/>
      <c r="T74" s="33"/>
      <c r="U74" s="60"/>
      <c r="V74" s="33"/>
      <c r="W74" s="61"/>
      <c r="X74" s="33"/>
      <c r="Y74" s="33"/>
      <c r="Z74" s="34"/>
      <c r="AA74" s="34"/>
      <c r="AB74" s="40" t="s">
        <v>273</v>
      </c>
      <c r="AC74" s="41">
        <f>IF(F74="",Taux!L30,0)</f>
        <v>0</v>
      </c>
      <c r="AD74" s="35"/>
    </row>
    <row r="75" spans="1:205" ht="3.75" customHeight="1" thickBot="1" x14ac:dyDescent="0.3">
      <c r="A75" s="30"/>
      <c r="B75" s="34"/>
      <c r="C75" s="33"/>
      <c r="D75" s="33"/>
      <c r="E75" s="33"/>
      <c r="F75" s="444"/>
      <c r="G75" s="444"/>
      <c r="H75" s="444"/>
      <c r="I75" s="444"/>
      <c r="J75" s="444"/>
      <c r="K75" s="444"/>
      <c r="L75" s="33"/>
      <c r="M75" s="33"/>
      <c r="N75" s="33"/>
      <c r="O75" s="33"/>
      <c r="P75" s="33"/>
      <c r="Q75" s="33"/>
      <c r="R75" s="33"/>
      <c r="S75" s="33"/>
      <c r="T75" s="33"/>
      <c r="U75" s="33"/>
      <c r="V75" s="33"/>
      <c r="W75" s="61"/>
      <c r="X75" s="33"/>
      <c r="Y75" s="33"/>
      <c r="Z75" s="34"/>
      <c r="AA75" s="34"/>
      <c r="AB75" s="34"/>
      <c r="AC75" s="34"/>
      <c r="AD75" s="35"/>
    </row>
    <row r="76" spans="1:205" ht="30" customHeight="1" thickBot="1" x14ac:dyDescent="0.3">
      <c r="A76" s="30"/>
      <c r="B76" s="119"/>
      <c r="C76" s="33"/>
      <c r="D76" s="439" t="str">
        <f>Taux!L26</f>
        <v>Non</v>
      </c>
      <c r="E76" s="440"/>
      <c r="F76" s="444"/>
      <c r="G76" s="444"/>
      <c r="H76" s="444"/>
      <c r="I76" s="444"/>
      <c r="J76" s="444"/>
      <c r="K76" s="444"/>
      <c r="L76" s="33"/>
      <c r="M76" s="33"/>
      <c r="N76" s="33"/>
      <c r="O76" s="33"/>
      <c r="P76" s="33"/>
      <c r="Q76" s="33"/>
      <c r="R76" s="33"/>
      <c r="S76" s="33"/>
      <c r="T76" s="33"/>
      <c r="U76" s="443"/>
      <c r="V76" s="443"/>
      <c r="W76" s="443"/>
      <c r="X76" s="33"/>
      <c r="Y76" s="33"/>
      <c r="Z76" s="34"/>
      <c r="AA76" s="34"/>
      <c r="AB76" s="40" t="s">
        <v>271</v>
      </c>
      <c r="AC76" s="64">
        <f>26*AC74</f>
        <v>0</v>
      </c>
      <c r="AD76" s="35"/>
    </row>
    <row r="77" spans="1:205" ht="3.75" customHeight="1" x14ac:dyDescent="0.25">
      <c r="A77" s="30"/>
      <c r="B77" s="34"/>
      <c r="C77" s="33"/>
      <c r="D77" s="33"/>
      <c r="E77" s="33"/>
      <c r="F77" s="33"/>
      <c r="G77" s="81"/>
      <c r="H77" s="81"/>
      <c r="I77" s="81"/>
      <c r="J77" s="81"/>
      <c r="K77" s="81"/>
      <c r="L77" s="81"/>
      <c r="M77" s="33"/>
      <c r="N77" s="33"/>
      <c r="O77" s="33"/>
      <c r="P77" s="33"/>
      <c r="Q77" s="33"/>
      <c r="R77" s="33"/>
      <c r="S77" s="33"/>
      <c r="T77" s="33"/>
      <c r="U77" s="33"/>
      <c r="V77" s="33"/>
      <c r="W77" s="61"/>
      <c r="X77" s="33"/>
      <c r="Y77" s="33"/>
      <c r="Z77" s="34"/>
      <c r="AA77" s="34"/>
      <c r="AB77" s="34"/>
      <c r="AC77" s="43"/>
      <c r="AD77" s="35"/>
    </row>
    <row r="78" spans="1:205" s="80" customFormat="1" ht="30" customHeight="1" x14ac:dyDescent="0.25">
      <c r="A78" s="30"/>
      <c r="B78" s="33"/>
      <c r="C78" s="33"/>
      <c r="D78" s="33"/>
      <c r="E78" s="33"/>
      <c r="F78" s="37"/>
      <c r="G78" s="114" t="str">
        <f>IF(AND(Taux!L28=Taux!L25,Taux!L18=Taux!L16),"Pour souscrire l'assurance vie des personnes à charge, vous devez avoir l'assurance vie de base","")</f>
        <v/>
      </c>
      <c r="H78" s="81"/>
      <c r="I78" s="81"/>
      <c r="J78" s="81"/>
      <c r="K78" s="81"/>
      <c r="L78" s="81"/>
      <c r="M78" s="33"/>
      <c r="N78" s="33"/>
      <c r="O78" s="33"/>
      <c r="P78" s="33"/>
      <c r="Q78" s="33"/>
      <c r="R78" s="33"/>
      <c r="S78" s="33"/>
      <c r="T78" s="33"/>
      <c r="U78" s="33"/>
      <c r="V78" s="33"/>
      <c r="W78" s="79"/>
      <c r="X78" s="33"/>
      <c r="Y78" s="33"/>
      <c r="Z78" s="34"/>
      <c r="AA78" s="33"/>
      <c r="AB78" s="33"/>
      <c r="AC78" s="341" t="str">
        <f xml:space="preserve"> IF(AC74&gt;0,"Ce cout tient compte d'un congé de prime de 50 %, mais n'inclut pas la taxe de vente de 9 %","")</f>
        <v/>
      </c>
      <c r="AD78" s="35"/>
      <c r="AE78"/>
      <c r="AF78"/>
      <c r="AG78"/>
      <c r="AH78"/>
      <c r="AI78"/>
      <c r="AJ78"/>
      <c r="AK78"/>
      <c r="AL78"/>
      <c r="AM78"/>
      <c r="AN78"/>
      <c r="AO78"/>
      <c r="AP78"/>
      <c r="AQ78"/>
      <c r="AR78"/>
      <c r="AS78"/>
      <c r="AT78"/>
      <c r="AU78"/>
      <c r="AV78"/>
      <c r="AW78"/>
      <c r="AX78"/>
      <c r="AY78"/>
      <c r="AZ78"/>
      <c r="BA78"/>
      <c r="BB78"/>
      <c r="BC78"/>
      <c r="BD78"/>
      <c r="BE78"/>
      <c r="BF78"/>
      <c r="BG78"/>
      <c r="BH78"/>
      <c r="BI78"/>
      <c r="BJ78"/>
      <c r="BK78"/>
      <c r="BL78"/>
      <c r="BM78"/>
      <c r="BN78"/>
      <c r="BO78"/>
      <c r="BP78"/>
      <c r="BQ78"/>
      <c r="BR78"/>
      <c r="BS78"/>
      <c r="BT78"/>
      <c r="BU78"/>
      <c r="BV78"/>
      <c r="BW78"/>
      <c r="BX78"/>
      <c r="BY78"/>
      <c r="BZ78"/>
      <c r="CA78"/>
      <c r="CB78"/>
      <c r="CC78"/>
      <c r="CD78"/>
      <c r="CE78"/>
      <c r="CF78"/>
      <c r="CG78"/>
      <c r="CH78"/>
      <c r="CI78"/>
      <c r="CJ78"/>
      <c r="CK78"/>
      <c r="CL78"/>
      <c r="CM78"/>
      <c r="CN78"/>
      <c r="CO78"/>
      <c r="CP78"/>
      <c r="CQ78"/>
      <c r="CR78"/>
      <c r="CS78"/>
      <c r="CT78"/>
      <c r="CU78"/>
      <c r="CV78"/>
      <c r="CW78"/>
      <c r="CX78"/>
      <c r="CY78"/>
      <c r="CZ78"/>
      <c r="DA78"/>
      <c r="DB78"/>
      <c r="DC78"/>
      <c r="DD78"/>
      <c r="DE78"/>
      <c r="DF78"/>
      <c r="DG78"/>
      <c r="DH78"/>
      <c r="DI78"/>
      <c r="DJ78"/>
      <c r="DK78"/>
      <c r="DL78"/>
      <c r="DM78"/>
      <c r="DN78"/>
      <c r="DO78"/>
      <c r="DP78"/>
      <c r="DQ78"/>
      <c r="DR78"/>
      <c r="DS78"/>
      <c r="DT78"/>
      <c r="DU78"/>
      <c r="DV78"/>
      <c r="DW78"/>
      <c r="DX78"/>
      <c r="DY78"/>
      <c r="DZ78"/>
      <c r="EA78"/>
      <c r="EB78"/>
      <c r="EC78"/>
      <c r="ED78"/>
      <c r="EE78"/>
      <c r="EF78"/>
      <c r="EG78"/>
      <c r="EH78"/>
      <c r="EI78"/>
      <c r="EJ78"/>
      <c r="EK78"/>
      <c r="EL78"/>
      <c r="EM78"/>
      <c r="EN78"/>
      <c r="EO78"/>
      <c r="EP78"/>
      <c r="EQ78"/>
      <c r="ER78"/>
      <c r="ES78"/>
      <c r="ET78"/>
      <c r="EU78"/>
      <c r="EV78"/>
      <c r="EW78"/>
      <c r="EX78"/>
      <c r="EY78"/>
      <c r="EZ78"/>
      <c r="FA78"/>
      <c r="FB78"/>
      <c r="FC78"/>
      <c r="FD78"/>
      <c r="FE78"/>
      <c r="FF78"/>
      <c r="FG78"/>
      <c r="FH78"/>
      <c r="FI78"/>
      <c r="FJ78"/>
      <c r="FK78"/>
      <c r="FL78"/>
      <c r="FM78"/>
      <c r="FN78"/>
      <c r="FO78"/>
      <c r="FP78"/>
      <c r="FQ78"/>
      <c r="FR78"/>
      <c r="FS78"/>
      <c r="FT78"/>
      <c r="FU78"/>
      <c r="FV78"/>
      <c r="FW78"/>
      <c r="FX78"/>
      <c r="FY78"/>
      <c r="FZ78"/>
      <c r="GA78"/>
      <c r="GB78"/>
      <c r="GC78"/>
      <c r="GD78"/>
      <c r="GE78"/>
      <c r="GF78"/>
      <c r="GG78"/>
      <c r="GH78"/>
      <c r="GI78"/>
      <c r="GJ78"/>
      <c r="GK78"/>
      <c r="GL78"/>
      <c r="GM78"/>
      <c r="GN78"/>
      <c r="GO78"/>
      <c r="GP78"/>
      <c r="GQ78"/>
      <c r="GR78"/>
      <c r="GS78"/>
      <c r="GT78"/>
      <c r="GU78"/>
      <c r="GV78"/>
      <c r="GW78"/>
    </row>
    <row r="79" spans="1:205" ht="3.75" customHeight="1" x14ac:dyDescent="0.25">
      <c r="A79" s="13"/>
      <c r="B79" s="65"/>
      <c r="C79" s="65"/>
      <c r="D79" s="65"/>
      <c r="E79" s="65"/>
      <c r="F79" s="65"/>
      <c r="G79" s="65"/>
      <c r="H79" s="65"/>
      <c r="I79" s="65"/>
      <c r="J79" s="65"/>
      <c r="K79" s="65"/>
      <c r="L79" s="65"/>
      <c r="M79" s="65"/>
      <c r="N79" s="65"/>
      <c r="O79" s="65"/>
      <c r="P79" s="65"/>
      <c r="Q79" s="65"/>
      <c r="R79" s="14"/>
      <c r="S79" s="14"/>
      <c r="T79" s="14"/>
      <c r="U79" s="14"/>
      <c r="V79" s="14"/>
      <c r="W79" s="14"/>
      <c r="X79" s="14"/>
      <c r="Y79" s="14"/>
      <c r="Z79" s="48"/>
      <c r="AA79" s="48"/>
      <c r="AB79" s="48"/>
      <c r="AC79" s="48"/>
      <c r="AD79" s="15"/>
    </row>
    <row r="80" spans="1:205" ht="30" customHeight="1" thickBot="1" x14ac:dyDescent="0.4">
      <c r="A80" s="16"/>
      <c r="B80" s="49" t="s">
        <v>22</v>
      </c>
      <c r="C80" s="49"/>
      <c r="D80" s="17"/>
      <c r="E80" s="17"/>
      <c r="F80" s="17"/>
      <c r="G80" s="17"/>
      <c r="H80" s="17"/>
      <c r="I80" s="17"/>
      <c r="J80" s="17"/>
      <c r="K80" s="17"/>
      <c r="L80" s="17"/>
      <c r="M80" s="17"/>
      <c r="N80" s="17"/>
      <c r="O80" s="17"/>
      <c r="P80" s="17"/>
      <c r="Q80" s="17"/>
      <c r="R80" s="53"/>
      <c r="S80" s="17"/>
      <c r="T80" s="17"/>
      <c r="U80" s="17"/>
      <c r="V80" s="17"/>
      <c r="W80" s="17"/>
      <c r="X80" s="17"/>
      <c r="Y80" s="17"/>
      <c r="Z80" s="22"/>
      <c r="AA80" s="22"/>
      <c r="AB80" s="22"/>
      <c r="AC80" s="22"/>
      <c r="AD80" s="19"/>
    </row>
    <row r="81" spans="1:30" ht="30" customHeight="1" thickBot="1" x14ac:dyDescent="0.4">
      <c r="A81" s="16"/>
      <c r="B81" s="20" t="s">
        <v>62</v>
      </c>
      <c r="C81" s="20"/>
      <c r="D81" s="17"/>
      <c r="E81" s="17"/>
      <c r="F81" s="17"/>
      <c r="G81" s="17"/>
      <c r="H81" s="17"/>
      <c r="I81" s="17"/>
      <c r="J81" s="17"/>
      <c r="K81" s="17"/>
      <c r="L81" s="17"/>
      <c r="M81" s="17"/>
      <c r="N81" s="17"/>
      <c r="O81" s="441" t="s">
        <v>322</v>
      </c>
      <c r="P81" s="441"/>
      <c r="Q81" s="441"/>
      <c r="R81" s="441"/>
      <c r="S81" s="441"/>
      <c r="T81" s="441"/>
      <c r="U81" s="442"/>
      <c r="V81" s="227">
        <f>Taux!R50</f>
        <v>0</v>
      </c>
      <c r="W81" s="17"/>
      <c r="X81" s="17"/>
      <c r="Y81" s="23" t="s">
        <v>108</v>
      </c>
      <c r="Z81" s="127">
        <f>IF(AND(Taux!V45&gt;0,Taux!W48&gt;0),0,Taux!V45+Taux!W48)</f>
        <v>0</v>
      </c>
      <c r="AA81" s="82"/>
      <c r="AB81" s="22"/>
      <c r="AC81" s="22"/>
      <c r="AD81" s="19"/>
    </row>
    <row r="82" spans="1:30" ht="30" customHeight="1" x14ac:dyDescent="0.35">
      <c r="A82" s="16"/>
      <c r="B82" s="20"/>
      <c r="C82" s="20"/>
      <c r="D82" s="17"/>
      <c r="E82" s="17"/>
      <c r="F82" s="17"/>
      <c r="G82" s="17"/>
      <c r="H82" s="17"/>
      <c r="I82" s="17"/>
      <c r="J82" s="17"/>
      <c r="K82" s="17"/>
      <c r="L82" s="17"/>
      <c r="M82" s="17"/>
      <c r="N82" s="17"/>
      <c r="O82" s="17"/>
      <c r="P82" s="83"/>
      <c r="Q82" s="17"/>
      <c r="R82" s="83"/>
      <c r="S82" s="83"/>
      <c r="T82" s="83"/>
      <c r="U82" s="83"/>
      <c r="V82" s="17"/>
      <c r="W82" s="17"/>
      <c r="X82" s="17"/>
      <c r="Y82" s="23"/>
      <c r="Z82" s="82"/>
      <c r="AA82" s="82"/>
      <c r="AB82" s="22"/>
      <c r="AC82" s="22"/>
      <c r="AD82" s="19"/>
    </row>
    <row r="83" spans="1:30" ht="30" customHeight="1" thickBot="1" x14ac:dyDescent="0.3">
      <c r="A83" s="16"/>
      <c r="B83" s="433" t="s">
        <v>105</v>
      </c>
      <c r="C83" s="433"/>
      <c r="D83" s="433"/>
      <c r="E83" s="433"/>
      <c r="F83" s="433"/>
      <c r="G83" s="433"/>
      <c r="H83" s="433"/>
      <c r="I83" s="17" t="s">
        <v>37</v>
      </c>
      <c r="J83" s="84"/>
      <c r="K83" s="17"/>
      <c r="L83" s="17"/>
      <c r="M83" s="17"/>
      <c r="N83" s="17"/>
      <c r="O83" s="17"/>
      <c r="P83" s="17"/>
      <c r="Q83" s="17"/>
      <c r="R83" s="431" t="s">
        <v>343</v>
      </c>
      <c r="S83" s="431"/>
      <c r="T83" s="431"/>
      <c r="U83" s="431"/>
      <c r="V83" s="431"/>
      <c r="W83" s="431"/>
      <c r="X83" s="431"/>
      <c r="Y83" s="431"/>
      <c r="Z83" s="22"/>
      <c r="AA83" s="22"/>
      <c r="AB83" s="22"/>
      <c r="AC83" s="22"/>
      <c r="AD83" s="19"/>
    </row>
    <row r="84" spans="1:30" ht="30" customHeight="1" thickBot="1" x14ac:dyDescent="0.3">
      <c r="A84" s="16"/>
      <c r="B84" s="119"/>
      <c r="C84" s="17"/>
      <c r="D84" s="434" t="str">
        <f>Taux!L37</f>
        <v>Oui</v>
      </c>
      <c r="E84" s="436"/>
      <c r="F84" s="430" t="str">
        <f>IF(COUNTBLANK(B84:B86)&lt;2,"Il ne peut y avoir qu'un seul choix de réponse",IF(COUNTBLANK(B84:B86)=3,"Vous devez faire un choix de réponse",""))</f>
        <v>Vous devez faire un choix de réponse</v>
      </c>
      <c r="G84" s="430"/>
      <c r="H84" s="430"/>
      <c r="I84" s="119"/>
      <c r="J84" s="17"/>
      <c r="K84" s="434" t="str">
        <f>Taux!L43</f>
        <v>Homme</v>
      </c>
      <c r="L84" s="435"/>
      <c r="M84" s="436"/>
      <c r="N84" s="430" t="str">
        <f>IF(COUNTBLANK(I84:I86)&lt;2,"Il ne peut y avoir qu'un seul choix de réponse",IF(COUNTBLANK(I84:I86)=3,"Vous devez faire un choix de réponse",""))</f>
        <v>Vous devez faire un choix de réponse</v>
      </c>
      <c r="O84" s="430"/>
      <c r="P84" s="430"/>
      <c r="Q84" s="430"/>
      <c r="R84" s="85"/>
      <c r="S84" s="22"/>
      <c r="T84" s="22"/>
      <c r="U84" s="234"/>
      <c r="V84" s="22" t="s">
        <v>317</v>
      </c>
      <c r="W84" s="22"/>
      <c r="X84" s="22"/>
      <c r="Y84" s="127">
        <f>IF(OR(U84=1,U84=2,U84=3,U84=4,U84=5,U84=6,U84=7),U84*20000,0)</f>
        <v>0</v>
      </c>
      <c r="Z84" s="429" t="str">
        <f>IF(AND(Y84&gt;0,Y91&gt;0),"Pour effectuer un changement à votre protection, vous devez sélectionner des tranches de 25 000$ uniquement","")</f>
        <v/>
      </c>
      <c r="AA84" s="429"/>
      <c r="AB84" s="22"/>
      <c r="AC84" s="22"/>
      <c r="AD84" s="19"/>
    </row>
    <row r="85" spans="1:30" ht="3.75" customHeight="1" thickBot="1" x14ac:dyDescent="0.3">
      <c r="A85" s="16"/>
      <c r="B85" s="22"/>
      <c r="C85" s="23"/>
      <c r="D85" s="17"/>
      <c r="E85" s="17"/>
      <c r="F85" s="430"/>
      <c r="G85" s="430"/>
      <c r="H85" s="430"/>
      <c r="I85" s="17"/>
      <c r="J85" s="17"/>
      <c r="K85" s="17"/>
      <c r="L85" s="17"/>
      <c r="M85" s="17"/>
      <c r="N85" s="430"/>
      <c r="O85" s="430"/>
      <c r="P85" s="430"/>
      <c r="Q85" s="430"/>
      <c r="R85" s="86"/>
      <c r="S85" s="17"/>
      <c r="T85" s="17"/>
      <c r="U85" s="17"/>
      <c r="V85" s="17"/>
      <c r="W85" s="17"/>
      <c r="X85" s="17"/>
      <c r="Y85" s="17"/>
      <c r="Z85" s="429"/>
      <c r="AA85" s="429"/>
      <c r="AB85" s="22"/>
      <c r="AC85" s="22"/>
      <c r="AD85" s="19"/>
    </row>
    <row r="86" spans="1:30" ht="30" customHeight="1" thickBot="1" x14ac:dyDescent="0.3">
      <c r="A86" s="16"/>
      <c r="B86" s="119"/>
      <c r="C86" s="17"/>
      <c r="D86" s="434" t="str">
        <f>Taux!L38</f>
        <v>Non</v>
      </c>
      <c r="E86" s="436"/>
      <c r="F86" s="430"/>
      <c r="G86" s="430"/>
      <c r="H86" s="430"/>
      <c r="I86" s="119"/>
      <c r="J86" s="17"/>
      <c r="K86" s="434" t="str">
        <f>Taux!L44</f>
        <v>Femme</v>
      </c>
      <c r="L86" s="435"/>
      <c r="M86" s="436"/>
      <c r="N86" s="430"/>
      <c r="O86" s="430"/>
      <c r="P86" s="430"/>
      <c r="Q86" s="430"/>
      <c r="R86" s="86"/>
      <c r="S86" s="17"/>
      <c r="T86" s="17"/>
      <c r="U86" s="17"/>
      <c r="V86" s="17"/>
      <c r="W86" s="17"/>
      <c r="X86" s="17"/>
      <c r="Y86" s="17"/>
      <c r="Z86" s="429"/>
      <c r="AA86" s="429"/>
      <c r="AB86" s="22"/>
      <c r="AC86" s="22"/>
      <c r="AD86" s="19"/>
    </row>
    <row r="87" spans="1:30" ht="3.75" customHeight="1" x14ac:dyDescent="0.25">
      <c r="A87" s="16"/>
      <c r="B87" s="22"/>
      <c r="C87" s="23"/>
      <c r="D87" s="17"/>
      <c r="E87" s="17"/>
      <c r="F87" s="17"/>
      <c r="G87" s="17"/>
      <c r="H87" s="17"/>
      <c r="I87" s="17"/>
      <c r="J87" s="17"/>
      <c r="K87" s="17"/>
      <c r="L87" s="17"/>
      <c r="M87" s="17"/>
      <c r="N87" s="68"/>
      <c r="O87" s="68"/>
      <c r="P87" s="68"/>
      <c r="Q87" s="68"/>
      <c r="R87" s="86"/>
      <c r="S87" s="17"/>
      <c r="T87" s="17"/>
      <c r="U87" s="17"/>
      <c r="V87" s="17"/>
      <c r="W87" s="17"/>
      <c r="X87" s="17"/>
      <c r="Y87" s="17"/>
      <c r="Z87" s="429"/>
      <c r="AA87" s="429"/>
      <c r="AB87" s="22"/>
      <c r="AC87" s="22"/>
      <c r="AD87" s="19"/>
    </row>
    <row r="88" spans="1:30" ht="18" customHeight="1" x14ac:dyDescent="0.25">
      <c r="A88" s="16"/>
      <c r="B88" s="221" t="str">
        <f>IF(AND((OR(B84="x",B84="X")),OR(NOT(OR(Q59="x",Q59="X")),NOT(OR(B61="x",B61="X")))),"Vous devez souscrire au maximum de l'assurance vie de base pour pouvoir ajouter de l'assurance vie additionnelle","")</f>
        <v/>
      </c>
      <c r="C88" s="23"/>
      <c r="D88" s="17"/>
      <c r="E88" s="17"/>
      <c r="F88" s="17"/>
      <c r="G88" s="17"/>
      <c r="H88" s="17"/>
      <c r="I88" s="17"/>
      <c r="J88" s="17"/>
      <c r="K88" s="17"/>
      <c r="L88" s="17"/>
      <c r="M88" s="17"/>
      <c r="N88" s="68"/>
      <c r="O88" s="68"/>
      <c r="P88" s="68"/>
      <c r="Q88" s="68"/>
      <c r="R88" s="86"/>
      <c r="S88" s="17"/>
      <c r="T88" s="17"/>
      <c r="U88" s="17"/>
      <c r="V88" s="17"/>
      <c r="W88" s="17"/>
      <c r="X88" s="17"/>
      <c r="Y88" s="17"/>
      <c r="Z88" s="429"/>
      <c r="AA88" s="429"/>
      <c r="AB88" s="22"/>
      <c r="AC88" s="22"/>
      <c r="AD88" s="19"/>
    </row>
    <row r="89" spans="1:30" ht="30" customHeight="1" x14ac:dyDescent="0.25">
      <c r="A89" s="16"/>
      <c r="B89" s="17"/>
      <c r="C89" s="17"/>
      <c r="D89" s="17"/>
      <c r="E89" s="17"/>
      <c r="F89" s="17"/>
      <c r="G89" s="17"/>
      <c r="H89" s="17"/>
      <c r="I89" s="17" t="s">
        <v>37</v>
      </c>
      <c r="J89" s="17"/>
      <c r="K89" s="85"/>
      <c r="L89" s="85"/>
      <c r="M89" s="85"/>
      <c r="N89" s="68"/>
      <c r="O89" s="68"/>
      <c r="P89" s="68"/>
      <c r="Q89" s="68"/>
      <c r="R89" s="431" t="s">
        <v>344</v>
      </c>
      <c r="S89" s="431"/>
      <c r="T89" s="431"/>
      <c r="U89" s="431"/>
      <c r="V89" s="431"/>
      <c r="W89" s="431"/>
      <c r="X89" s="431"/>
      <c r="Y89" s="431"/>
      <c r="Z89" s="429"/>
      <c r="AA89" s="429"/>
      <c r="AB89" s="22"/>
      <c r="AC89" s="22"/>
      <c r="AD89" s="19"/>
    </row>
    <row r="90" spans="1:30" ht="3.75" customHeight="1" thickBot="1" x14ac:dyDescent="0.3">
      <c r="A90" s="16"/>
      <c r="B90" s="22"/>
      <c r="C90" s="23"/>
      <c r="D90" s="17"/>
      <c r="E90" s="17"/>
      <c r="F90" s="17"/>
      <c r="G90" s="17"/>
      <c r="H90" s="17"/>
      <c r="I90" s="17"/>
      <c r="J90" s="17"/>
      <c r="K90" s="17"/>
      <c r="L90" s="17"/>
      <c r="M90" s="17"/>
      <c r="N90" s="17"/>
      <c r="O90" s="17"/>
      <c r="P90" s="17"/>
      <c r="Q90" s="17"/>
      <c r="R90" s="17"/>
      <c r="S90" s="17"/>
      <c r="T90" s="17"/>
      <c r="U90" s="17"/>
      <c r="V90" s="17"/>
      <c r="W90" s="17"/>
      <c r="X90" s="17"/>
      <c r="Y90" s="17"/>
      <c r="Z90" s="22"/>
      <c r="AA90" s="22"/>
      <c r="AB90" s="22"/>
      <c r="AC90" s="22"/>
      <c r="AD90" s="19"/>
    </row>
    <row r="91" spans="1:30" ht="30" customHeight="1" thickBot="1" x14ac:dyDescent="0.3">
      <c r="A91" s="16"/>
      <c r="B91" s="445" t="s">
        <v>287</v>
      </c>
      <c r="C91" s="445"/>
      <c r="D91" s="445"/>
      <c r="E91" s="22"/>
      <c r="F91" s="17"/>
      <c r="G91" s="17"/>
      <c r="H91" s="17"/>
      <c r="I91" s="119"/>
      <c r="J91" s="17"/>
      <c r="K91" s="434" t="str">
        <f>IF(Taux!L46=Taux!L44,Taux!L51,Taux!L49)</f>
        <v>Non fumeur</v>
      </c>
      <c r="L91" s="435"/>
      <c r="M91" s="436"/>
      <c r="N91" s="430" t="str">
        <f>IF(COUNTBLANK(I91:I93)&lt;2,"Il ne peut y avoir qu'un seul choix de réponse",IF(COUNTBLANK(I91:I93)=3,"Vous devez faire un choix de réponse",""))</f>
        <v>Vous devez faire un choix de réponse</v>
      </c>
      <c r="O91" s="430"/>
      <c r="P91" s="430"/>
      <c r="Q91" s="430"/>
      <c r="R91" s="85"/>
      <c r="S91" s="22"/>
      <c r="T91" s="22"/>
      <c r="U91" s="234"/>
      <c r="V91" s="22" t="s">
        <v>318</v>
      </c>
      <c r="W91" s="22"/>
      <c r="X91" s="22"/>
      <c r="Y91" s="127">
        <f>IF(OR(U91=1,U91=2,U91=3,U91=4,U91=5,U91=6,U91=7,U91=8,U91=9,U91=10),U91*25000,0)</f>
        <v>0</v>
      </c>
      <c r="Z91" s="22"/>
      <c r="AA91" s="22"/>
      <c r="AB91" s="23" t="s">
        <v>273</v>
      </c>
      <c r="AC91" s="123">
        <f>IF(AND(F84="",N84="",N91="",Z84="",B94=""),ROUND(Z81/1000*V81,2),0)</f>
        <v>0</v>
      </c>
      <c r="AD91" s="19"/>
    </row>
    <row r="92" spans="1:30" ht="3.75" customHeight="1" thickBot="1" x14ac:dyDescent="0.3">
      <c r="A92" s="16"/>
      <c r="B92" s="87"/>
      <c r="C92" s="87"/>
      <c r="D92" s="87"/>
      <c r="E92" s="87"/>
      <c r="F92" s="87"/>
      <c r="G92" s="87"/>
      <c r="H92" s="17"/>
      <c r="I92" s="17"/>
      <c r="J92" s="17"/>
      <c r="K92" s="85"/>
      <c r="L92" s="85"/>
      <c r="M92" s="85"/>
      <c r="N92" s="430"/>
      <c r="O92" s="430"/>
      <c r="P92" s="430"/>
      <c r="Q92" s="430"/>
      <c r="R92" s="86"/>
      <c r="S92" s="17"/>
      <c r="T92" s="17"/>
      <c r="U92" s="52"/>
      <c r="V92" s="52"/>
      <c r="W92" s="17"/>
      <c r="X92" s="17"/>
      <c r="Y92" s="17"/>
      <c r="Z92" s="22"/>
      <c r="AA92" s="22"/>
      <c r="AB92" s="22"/>
      <c r="AC92" s="22"/>
      <c r="AD92" s="19"/>
    </row>
    <row r="93" spans="1:30" ht="30" customHeight="1" thickBot="1" x14ac:dyDescent="0.3">
      <c r="A93" s="16"/>
      <c r="B93" s="424">
        <f>I4</f>
        <v>0</v>
      </c>
      <c r="C93" s="300"/>
      <c r="D93" s="295" t="s">
        <v>286</v>
      </c>
      <c r="E93" s="87"/>
      <c r="F93" s="87"/>
      <c r="G93" s="87"/>
      <c r="H93" s="17"/>
      <c r="I93" s="119"/>
      <c r="J93" s="17"/>
      <c r="K93" s="434" t="str">
        <f>IF(Taux!L46=Taux!L44,Taux!L52,Taux!L50)</f>
        <v>Fumeur</v>
      </c>
      <c r="L93" s="435"/>
      <c r="M93" s="436"/>
      <c r="N93" s="430"/>
      <c r="O93" s="430"/>
      <c r="P93" s="430"/>
      <c r="Q93" s="430"/>
      <c r="R93" s="86"/>
      <c r="S93" s="17"/>
      <c r="T93" s="17"/>
      <c r="U93" s="52"/>
      <c r="V93" s="52"/>
      <c r="W93" s="17"/>
      <c r="X93" s="17"/>
      <c r="Y93" s="17"/>
      <c r="Z93" s="22"/>
      <c r="AA93" s="22"/>
      <c r="AB93" s="23" t="s">
        <v>271</v>
      </c>
      <c r="AC93" s="123">
        <f>AC91*26</f>
        <v>0</v>
      </c>
      <c r="AD93" s="19"/>
    </row>
    <row r="94" spans="1:30" ht="19.5" customHeight="1" x14ac:dyDescent="0.25">
      <c r="A94" s="16"/>
      <c r="B94" s="338" t="str">
        <f>IF(I4&gt;=70,"À compter de 70 ans, l'assurance vie additonnelle pour la personne conjointe n'est plus disponible.","")</f>
        <v/>
      </c>
      <c r="C94" s="338"/>
      <c r="D94" s="338"/>
      <c r="E94" s="338"/>
      <c r="F94" s="338"/>
      <c r="G94" s="338"/>
      <c r="H94" s="338"/>
      <c r="I94" s="338"/>
      <c r="J94" s="338"/>
      <c r="K94" s="338"/>
      <c r="L94" s="338"/>
      <c r="M94" s="338"/>
      <c r="N94" s="338"/>
      <c r="O94" s="338"/>
      <c r="P94" s="338"/>
      <c r="Q94" s="338"/>
      <c r="R94" s="338"/>
      <c r="S94" s="338"/>
      <c r="T94" s="338"/>
      <c r="U94" s="338"/>
      <c r="V94" s="338"/>
      <c r="W94" s="338"/>
      <c r="X94" s="17"/>
      <c r="Y94" s="17"/>
      <c r="Z94" s="17"/>
      <c r="AA94" s="17"/>
      <c r="AB94" s="17"/>
      <c r="AC94" s="342" t="str">
        <f xml:space="preserve"> IF(AC91&gt;0,"Ce cout tient compte d'un congé de prime de 50 %, mais n'inclut pas la taxe de vente de 9 %","")</f>
        <v/>
      </c>
      <c r="AD94" s="19"/>
    </row>
    <row r="95" spans="1:30" ht="3.75" customHeight="1" x14ac:dyDescent="0.25">
      <c r="A95" s="16"/>
      <c r="B95" s="112"/>
      <c r="C95" s="112"/>
      <c r="D95" s="112"/>
      <c r="E95" s="112"/>
      <c r="F95" s="112"/>
      <c r="G95" s="112"/>
      <c r="H95" s="112"/>
      <c r="I95" s="112"/>
      <c r="J95" s="112"/>
      <c r="K95" s="112"/>
      <c r="L95" s="112"/>
      <c r="M95" s="88"/>
      <c r="N95" s="88"/>
      <c r="O95" s="88"/>
      <c r="P95" s="88"/>
      <c r="Q95" s="88"/>
      <c r="R95" s="86"/>
      <c r="S95" s="432"/>
      <c r="T95" s="432"/>
      <c r="U95" s="432"/>
      <c r="V95" s="432"/>
      <c r="W95" s="432"/>
      <c r="X95" s="432"/>
      <c r="Y95" s="432"/>
      <c r="Z95" s="17"/>
      <c r="AA95" s="22"/>
      <c r="AB95" s="22"/>
      <c r="AC95" s="18"/>
      <c r="AD95" s="19"/>
    </row>
    <row r="96" spans="1:30" ht="3.75" customHeight="1" x14ac:dyDescent="0.25">
      <c r="A96" s="89"/>
      <c r="B96" s="90"/>
      <c r="C96" s="90"/>
      <c r="D96" s="90"/>
      <c r="E96" s="90"/>
      <c r="F96" s="90"/>
      <c r="G96" s="90"/>
      <c r="H96" s="90"/>
      <c r="I96" s="90"/>
      <c r="J96" s="90"/>
      <c r="K96" s="90"/>
      <c r="L96" s="90"/>
      <c r="M96" s="90"/>
      <c r="N96" s="90"/>
      <c r="O96" s="90"/>
      <c r="P96" s="90"/>
      <c r="Q96" s="90"/>
      <c r="R96" s="91"/>
      <c r="S96" s="91"/>
      <c r="T96" s="91"/>
      <c r="U96" s="91"/>
      <c r="V96" s="91"/>
      <c r="W96" s="91"/>
      <c r="X96" s="91"/>
      <c r="Y96" s="91"/>
      <c r="Z96" s="92"/>
      <c r="AA96" s="92"/>
      <c r="AB96" s="92"/>
      <c r="AC96" s="92"/>
      <c r="AD96" s="93"/>
    </row>
    <row r="97" spans="1:30" ht="30" customHeight="1" thickBot="1" x14ac:dyDescent="0.4">
      <c r="A97" s="16"/>
      <c r="B97" s="49" t="s">
        <v>22</v>
      </c>
      <c r="C97" s="49"/>
      <c r="D97" s="17"/>
      <c r="E97" s="17"/>
      <c r="F97" s="17"/>
      <c r="G97" s="17"/>
      <c r="H97" s="17"/>
      <c r="I97" s="17"/>
      <c r="J97" s="17"/>
      <c r="K97" s="17"/>
      <c r="L97" s="17"/>
      <c r="M97" s="17"/>
      <c r="N97" s="17"/>
      <c r="O97" s="17"/>
      <c r="P97" s="17"/>
      <c r="Q97" s="17"/>
      <c r="R97" s="53"/>
      <c r="S97" s="17"/>
      <c r="T97" s="17"/>
      <c r="U97" s="17"/>
      <c r="V97" s="17"/>
      <c r="W97" s="17"/>
      <c r="X97" s="17"/>
      <c r="Y97" s="17"/>
      <c r="Z97" s="22"/>
      <c r="AA97" s="22"/>
      <c r="AB97" s="22"/>
      <c r="AC97" s="22"/>
      <c r="AD97" s="19"/>
    </row>
    <row r="98" spans="1:30" ht="30" customHeight="1" thickBot="1" x14ac:dyDescent="0.4">
      <c r="A98" s="16"/>
      <c r="B98" s="20" t="s">
        <v>63</v>
      </c>
      <c r="C98" s="20"/>
      <c r="D98" s="17"/>
      <c r="E98" s="17"/>
      <c r="F98" s="17"/>
      <c r="G98" s="17"/>
      <c r="H98" s="17"/>
      <c r="I98" s="17"/>
      <c r="J98" s="17"/>
      <c r="K98" s="17"/>
      <c r="L98" s="17"/>
      <c r="M98" s="17"/>
      <c r="N98" s="17"/>
      <c r="O98" s="437" t="s">
        <v>323</v>
      </c>
      <c r="P98" s="437"/>
      <c r="Q98" s="437"/>
      <c r="R98" s="437"/>
      <c r="S98" s="437"/>
      <c r="T98" s="437"/>
      <c r="U98" s="438"/>
      <c r="V98" s="120">
        <f>Taux!R52</f>
        <v>0</v>
      </c>
      <c r="W98" s="17"/>
      <c r="X98" s="17"/>
      <c r="Y98" s="23" t="s">
        <v>108</v>
      </c>
      <c r="Z98" s="127">
        <f>IF(AND(Y101&gt;0,Y108&gt;0),0,Y101+Y108)</f>
        <v>0</v>
      </c>
      <c r="AA98" s="82"/>
      <c r="AB98" s="22"/>
      <c r="AC98" s="22"/>
      <c r="AD98" s="19"/>
    </row>
    <row r="99" spans="1:30" ht="30" customHeight="1" x14ac:dyDescent="0.35">
      <c r="A99" s="16"/>
      <c r="B99" s="20"/>
      <c r="C99" s="20"/>
      <c r="D99" s="17"/>
      <c r="E99" s="17"/>
      <c r="F99" s="17"/>
      <c r="G99" s="17"/>
      <c r="H99" s="17"/>
      <c r="I99" s="17"/>
      <c r="J99" s="17"/>
      <c r="K99" s="17"/>
      <c r="L99" s="17"/>
      <c r="M99" s="17"/>
      <c r="N99" s="17"/>
      <c r="O99" s="83"/>
      <c r="P99" s="83"/>
      <c r="Q99" s="83"/>
      <c r="R99" s="83"/>
      <c r="S99" s="83"/>
      <c r="T99" s="83"/>
      <c r="U99" s="83"/>
      <c r="V99" s="73"/>
      <c r="W99" s="17"/>
      <c r="X99" s="17"/>
      <c r="Y99" s="23"/>
      <c r="Z99" s="82"/>
      <c r="AA99" s="82"/>
      <c r="AB99" s="22"/>
      <c r="AC99" s="22"/>
      <c r="AD99" s="19"/>
    </row>
    <row r="100" spans="1:30" ht="30" customHeight="1" thickBot="1" x14ac:dyDescent="0.3">
      <c r="A100" s="16"/>
      <c r="B100" s="433" t="s">
        <v>105</v>
      </c>
      <c r="C100" s="433"/>
      <c r="D100" s="433"/>
      <c r="E100" s="433"/>
      <c r="F100" s="433"/>
      <c r="G100" s="433"/>
      <c r="H100" s="433"/>
      <c r="I100" s="17" t="s">
        <v>37</v>
      </c>
      <c r="J100" s="84"/>
      <c r="K100" s="17"/>
      <c r="L100" s="17"/>
      <c r="M100" s="17"/>
      <c r="N100" s="17"/>
      <c r="O100" s="17"/>
      <c r="P100" s="17"/>
      <c r="Q100" s="17"/>
      <c r="R100" s="431" t="s">
        <v>343</v>
      </c>
      <c r="S100" s="431"/>
      <c r="T100" s="431"/>
      <c r="U100" s="431"/>
      <c r="V100" s="431"/>
      <c r="W100" s="431"/>
      <c r="X100" s="431"/>
      <c r="Y100" s="431"/>
      <c r="Z100" s="22"/>
      <c r="AA100" s="22"/>
      <c r="AB100" s="22"/>
      <c r="AC100" s="22"/>
      <c r="AD100" s="19"/>
    </row>
    <row r="101" spans="1:30" ht="30" customHeight="1" thickBot="1" x14ac:dyDescent="0.3">
      <c r="A101" s="16"/>
      <c r="B101" s="119"/>
      <c r="C101" s="17"/>
      <c r="D101" s="434" t="str">
        <f>Taux!N37</f>
        <v>Oui</v>
      </c>
      <c r="E101" s="436"/>
      <c r="F101" s="430" t="str">
        <f>IF(COUNTBLANK(B101:B103)&lt;2,"Il ne peut y avoir qu'un seul choix de réponse",IF(COUNTBLANK(B101:B103)=3,"Vous devez faire un choix de réponse",""))</f>
        <v>Vous devez faire un choix de réponse</v>
      </c>
      <c r="G101" s="430"/>
      <c r="H101" s="430"/>
      <c r="I101" s="119"/>
      <c r="J101" s="17"/>
      <c r="K101" s="434" t="str">
        <f>Taux!N43</f>
        <v>Homme</v>
      </c>
      <c r="L101" s="435"/>
      <c r="M101" s="436"/>
      <c r="N101" s="430" t="str">
        <f>IF(COUNTBLANK(I101:I103)&lt;2,"Il ne peut y avoir qu'un seul choix de réponse",IF(COUNTBLANK(I101:I103)=3,"Vous devez faire un choix de réponse",""))</f>
        <v>Vous devez faire un choix de réponse</v>
      </c>
      <c r="O101" s="430"/>
      <c r="P101" s="430"/>
      <c r="Q101" s="430"/>
      <c r="R101" s="85"/>
      <c r="S101" s="22"/>
      <c r="T101" s="22"/>
      <c r="U101" s="234"/>
      <c r="V101" s="22" t="s">
        <v>337</v>
      </c>
      <c r="W101" s="22"/>
      <c r="X101" s="22"/>
      <c r="Y101" s="127">
        <f>IF(OR(U101=1,U101=2,U101=3,U101=4,U101=5,U101=6,U101=7),U101*20000,0)</f>
        <v>0</v>
      </c>
      <c r="Z101" s="429" t="str">
        <f>IF(AND(Y101&gt;0,Y108&gt;0),"Pour effectuer un changement à votre protection, vous devez sélectionner des tranches de 25 000$ uniquement","")</f>
        <v/>
      </c>
      <c r="AA101" s="429"/>
      <c r="AB101" s="22"/>
      <c r="AC101" s="22"/>
      <c r="AD101" s="19"/>
    </row>
    <row r="102" spans="1:30" ht="3.75" customHeight="1" thickBot="1" x14ac:dyDescent="0.3">
      <c r="A102" s="16"/>
      <c r="B102" s="22"/>
      <c r="C102" s="23"/>
      <c r="D102" s="17"/>
      <c r="E102" s="17"/>
      <c r="F102" s="430"/>
      <c r="G102" s="430"/>
      <c r="H102" s="430"/>
      <c r="I102" s="17"/>
      <c r="J102" s="17"/>
      <c r="K102" s="17"/>
      <c r="L102" s="17"/>
      <c r="M102" s="17"/>
      <c r="N102" s="430"/>
      <c r="O102" s="430"/>
      <c r="P102" s="430"/>
      <c r="Q102" s="430"/>
      <c r="R102" s="86"/>
      <c r="S102" s="17"/>
      <c r="T102" s="17"/>
      <c r="U102" s="17"/>
      <c r="V102" s="17"/>
      <c r="W102" s="17"/>
      <c r="X102" s="17"/>
      <c r="Y102" s="17"/>
      <c r="Z102" s="429"/>
      <c r="AA102" s="429"/>
      <c r="AB102" s="22"/>
      <c r="AC102" s="22"/>
      <c r="AD102" s="19"/>
    </row>
    <row r="103" spans="1:30" ht="30" customHeight="1" thickBot="1" x14ac:dyDescent="0.3">
      <c r="A103" s="16"/>
      <c r="B103" s="119"/>
      <c r="C103" s="17"/>
      <c r="D103" s="434" t="str">
        <f>Taux!N38</f>
        <v>Non</v>
      </c>
      <c r="E103" s="436"/>
      <c r="F103" s="430"/>
      <c r="G103" s="430"/>
      <c r="H103" s="430"/>
      <c r="I103" s="119"/>
      <c r="J103" s="17"/>
      <c r="K103" s="434" t="str">
        <f>Taux!N44</f>
        <v>Femme</v>
      </c>
      <c r="L103" s="435"/>
      <c r="M103" s="436"/>
      <c r="N103" s="430"/>
      <c r="O103" s="430"/>
      <c r="P103" s="430"/>
      <c r="Q103" s="430"/>
      <c r="R103" s="86"/>
      <c r="S103" s="17"/>
      <c r="T103" s="17"/>
      <c r="U103" s="17"/>
      <c r="V103" s="17"/>
      <c r="W103" s="17"/>
      <c r="X103" s="17"/>
      <c r="Y103" s="17"/>
      <c r="Z103" s="429"/>
      <c r="AA103" s="429"/>
      <c r="AB103" s="22"/>
      <c r="AC103" s="22"/>
      <c r="AD103" s="19"/>
    </row>
    <row r="104" spans="1:30" ht="3.75" customHeight="1" x14ac:dyDescent="0.25">
      <c r="A104" s="16"/>
      <c r="B104" s="22"/>
      <c r="C104" s="23"/>
      <c r="D104" s="17"/>
      <c r="E104" s="17"/>
      <c r="F104" s="17"/>
      <c r="G104" s="17"/>
      <c r="H104" s="17"/>
      <c r="I104" s="17"/>
      <c r="J104" s="17"/>
      <c r="K104" s="17"/>
      <c r="L104" s="17"/>
      <c r="M104" s="17"/>
      <c r="N104" s="68"/>
      <c r="O104" s="68"/>
      <c r="P104" s="68"/>
      <c r="Q104" s="68"/>
      <c r="R104" s="86"/>
      <c r="S104" s="17"/>
      <c r="T104" s="17"/>
      <c r="U104" s="17"/>
      <c r="V104" s="17"/>
      <c r="W104" s="17"/>
      <c r="X104" s="17"/>
      <c r="Y104" s="17"/>
      <c r="Z104" s="429"/>
      <c r="AA104" s="429"/>
      <c r="AB104" s="22"/>
      <c r="AC104" s="22"/>
      <c r="AD104" s="19"/>
    </row>
    <row r="105" spans="1:30" ht="16.899999999999999" customHeight="1" x14ac:dyDescent="0.25">
      <c r="A105" s="16"/>
      <c r="B105" s="423" t="str">
        <f>IF(AND((OR(B101="x",B101="X")),NOT(OR(B74="x",B74="X"))),"Vous devez souscrire à l'assurance vie des personnes à charge pour pouvoir ajouter de l'assurance vie additionnelle","")</f>
        <v/>
      </c>
      <c r="C105" s="23"/>
      <c r="D105" s="17"/>
      <c r="E105" s="17"/>
      <c r="F105" s="17"/>
      <c r="G105" s="17"/>
      <c r="H105" s="17"/>
      <c r="I105" s="17"/>
      <c r="J105" s="17"/>
      <c r="K105" s="17"/>
      <c r="L105" s="17"/>
      <c r="M105" s="17"/>
      <c r="N105" s="68"/>
      <c r="O105" s="68"/>
      <c r="P105" s="68"/>
      <c r="Q105" s="68"/>
      <c r="R105" s="86"/>
      <c r="S105" s="17"/>
      <c r="T105" s="17"/>
      <c r="U105" s="17"/>
      <c r="V105" s="17"/>
      <c r="W105" s="17"/>
      <c r="X105" s="17"/>
      <c r="Y105" s="17"/>
      <c r="Z105" s="429"/>
      <c r="AA105" s="429"/>
      <c r="AB105" s="22"/>
      <c r="AC105" s="22"/>
      <c r="AD105" s="19"/>
    </row>
    <row r="106" spans="1:30" ht="30" customHeight="1" x14ac:dyDescent="0.25">
      <c r="A106" s="16"/>
      <c r="B106" s="17"/>
      <c r="C106" s="17"/>
      <c r="D106" s="17"/>
      <c r="E106" s="17"/>
      <c r="F106" s="17"/>
      <c r="G106" s="17"/>
      <c r="H106" s="17"/>
      <c r="I106" s="17" t="s">
        <v>37</v>
      </c>
      <c r="J106" s="17"/>
      <c r="K106" s="85"/>
      <c r="L106" s="85"/>
      <c r="M106" s="85"/>
      <c r="N106" s="68"/>
      <c r="O106" s="68"/>
      <c r="P106" s="68"/>
      <c r="Q106" s="68"/>
      <c r="R106" s="431" t="s">
        <v>344</v>
      </c>
      <c r="S106" s="431"/>
      <c r="T106" s="431"/>
      <c r="U106" s="431"/>
      <c r="V106" s="431"/>
      <c r="W106" s="431"/>
      <c r="X106" s="431"/>
      <c r="Y106" s="431"/>
      <c r="Z106" s="429"/>
      <c r="AA106" s="429"/>
      <c r="AB106" s="22"/>
      <c r="AC106" s="22"/>
      <c r="AD106" s="19"/>
    </row>
    <row r="107" spans="1:30" ht="3.75" customHeight="1" thickBot="1" x14ac:dyDescent="0.3">
      <c r="A107" s="16"/>
      <c r="B107" s="22"/>
      <c r="C107" s="23"/>
      <c r="D107" s="17"/>
      <c r="E107" s="17"/>
      <c r="F107" s="17"/>
      <c r="G107" s="17"/>
      <c r="H107" s="17"/>
      <c r="I107" s="17"/>
      <c r="J107" s="17"/>
      <c r="K107" s="17"/>
      <c r="L107" s="17"/>
      <c r="M107" s="17"/>
      <c r="N107" s="17"/>
      <c r="O107" s="17"/>
      <c r="P107" s="17"/>
      <c r="Q107" s="17"/>
      <c r="R107" s="17"/>
      <c r="S107" s="17"/>
      <c r="T107" s="17"/>
      <c r="U107" s="17"/>
      <c r="V107" s="17"/>
      <c r="W107" s="17"/>
      <c r="X107" s="17"/>
      <c r="Y107" s="17"/>
      <c r="Z107" s="22"/>
      <c r="AA107" s="22"/>
      <c r="AB107" s="22"/>
      <c r="AC107" s="22"/>
      <c r="AD107" s="19"/>
    </row>
    <row r="108" spans="1:30" ht="30" customHeight="1" thickBot="1" x14ac:dyDescent="0.3">
      <c r="A108" s="16"/>
      <c r="B108" s="433" t="s">
        <v>114</v>
      </c>
      <c r="C108" s="433"/>
      <c r="D108" s="433"/>
      <c r="E108" s="433"/>
      <c r="F108" s="433"/>
      <c r="G108" s="17"/>
      <c r="H108" s="17"/>
      <c r="I108" s="119"/>
      <c r="J108" s="17"/>
      <c r="K108" s="434" t="str">
        <f>IF(Taux!N46=Taux!N44,Taux!N51,Taux!N49)</f>
        <v>Non fumeuse</v>
      </c>
      <c r="L108" s="435"/>
      <c r="M108" s="436"/>
      <c r="N108" s="430" t="str">
        <f>IF(COUNTBLANK(I108:I110)&lt;2,"Il ne peut y avoir qu'un seul choix de réponse",IF(COUNTBLANK(I108:I110)=3,"Vous devez faire un choix de réponse",""))</f>
        <v>Vous devez faire un choix de réponse</v>
      </c>
      <c r="O108" s="430"/>
      <c r="P108" s="430"/>
      <c r="Q108" s="430"/>
      <c r="R108" s="85"/>
      <c r="S108" s="22"/>
      <c r="T108" s="22"/>
      <c r="U108" s="234"/>
      <c r="V108" s="22" t="s">
        <v>319</v>
      </c>
      <c r="W108" s="22"/>
      <c r="X108" s="22"/>
      <c r="Y108" s="127">
        <f>IF(OR(U108=1,U108=2,U108=3,U108=4,U108=5,U108=6,U108=7,U108=8,U108=9,U108=10),U108*25000,0)</f>
        <v>0</v>
      </c>
      <c r="Z108" s="22"/>
      <c r="AA108" s="22"/>
      <c r="AB108" s="23" t="s">
        <v>273</v>
      </c>
      <c r="AC108" s="228">
        <f>IF(AND(F101="",N101="",N108="",Z101="",B111=""),ROUND(Z98/1000*V98,2),0)</f>
        <v>0</v>
      </c>
      <c r="AD108" s="19"/>
    </row>
    <row r="109" spans="1:30" ht="3.75" customHeight="1" thickBot="1" x14ac:dyDescent="0.3">
      <c r="A109" s="16"/>
      <c r="B109" s="87"/>
      <c r="C109" s="87"/>
      <c r="D109" s="87"/>
      <c r="E109" s="87"/>
      <c r="F109" s="87"/>
      <c r="G109" s="87"/>
      <c r="H109" s="17"/>
      <c r="I109" s="17"/>
      <c r="J109" s="17"/>
      <c r="K109" s="85"/>
      <c r="L109" s="85"/>
      <c r="M109" s="85"/>
      <c r="N109" s="430"/>
      <c r="O109" s="430"/>
      <c r="P109" s="430"/>
      <c r="Q109" s="430"/>
      <c r="R109" s="86"/>
      <c r="S109" s="17"/>
      <c r="T109" s="17"/>
      <c r="U109" s="52"/>
      <c r="V109" s="52"/>
      <c r="W109" s="17"/>
      <c r="X109" s="17"/>
      <c r="Y109" s="17"/>
      <c r="Z109" s="22"/>
      <c r="AA109" s="22"/>
      <c r="AB109" s="22"/>
      <c r="AC109" s="23"/>
      <c r="AD109" s="19"/>
    </row>
    <row r="110" spans="1:30" ht="30" customHeight="1" thickBot="1" x14ac:dyDescent="0.3">
      <c r="A110" s="16"/>
      <c r="B110" s="421"/>
      <c r="C110" s="125" t="s">
        <v>113</v>
      </c>
      <c r="D110" s="237"/>
      <c r="E110" s="87"/>
      <c r="F110" s="87"/>
      <c r="G110" s="87"/>
      <c r="H110" s="17"/>
      <c r="I110" s="119"/>
      <c r="J110" s="17"/>
      <c r="K110" s="434" t="str">
        <f>IF(Taux!N46=Taux!N44,Taux!N52,Taux!N50)</f>
        <v>Fumeuse</v>
      </c>
      <c r="L110" s="435"/>
      <c r="M110" s="436"/>
      <c r="N110" s="430"/>
      <c r="O110" s="430"/>
      <c r="P110" s="430"/>
      <c r="Q110" s="430"/>
      <c r="R110" s="86"/>
      <c r="S110" s="17"/>
      <c r="T110" s="17"/>
      <c r="U110" s="52"/>
      <c r="V110" s="52"/>
      <c r="W110" s="17"/>
      <c r="X110" s="17"/>
      <c r="Y110" s="17"/>
      <c r="Z110" s="22"/>
      <c r="AA110" s="22"/>
      <c r="AB110" s="23" t="s">
        <v>271</v>
      </c>
      <c r="AC110" s="228">
        <f>AC108*26</f>
        <v>0</v>
      </c>
      <c r="AD110" s="19"/>
    </row>
    <row r="111" spans="1:30" ht="30" customHeight="1" x14ac:dyDescent="0.25">
      <c r="A111" s="16"/>
      <c r="B111" s="455" t="str">
        <f>IF(B110&gt;=70,"À compter de 70 ans, l'assurance vie additonnelle pour la personne conjointe n'est plus disponible.","")</f>
        <v/>
      </c>
      <c r="C111" s="455"/>
      <c r="D111" s="455"/>
      <c r="E111" s="455"/>
      <c r="F111" s="455"/>
      <c r="G111" s="455"/>
      <c r="H111" s="455"/>
      <c r="I111" s="455"/>
      <c r="J111" s="455"/>
      <c r="K111" s="455"/>
      <c r="L111" s="455"/>
      <c r="M111" s="455"/>
      <c r="N111" s="455"/>
      <c r="O111" s="455"/>
      <c r="P111" s="455"/>
      <c r="Q111" s="455"/>
      <c r="R111" s="455"/>
      <c r="S111" s="455"/>
      <c r="T111" s="455"/>
      <c r="U111" s="455"/>
      <c r="V111" s="52"/>
      <c r="W111" s="52"/>
      <c r="X111" s="17"/>
      <c r="Y111" s="17"/>
      <c r="Z111" s="17"/>
      <c r="AA111" s="17"/>
      <c r="AB111" s="17"/>
      <c r="AC111" s="342" t="str">
        <f xml:space="preserve"> IF(AC108&gt;0,"Ce cout tient compte d'un congé de prime de 50 %, mais n'inclut pas la taxe de vente de 9 %","")</f>
        <v/>
      </c>
      <c r="AD111" s="19"/>
    </row>
    <row r="112" spans="1:30" ht="3.75" customHeight="1" x14ac:dyDescent="0.25">
      <c r="A112" s="54"/>
      <c r="B112" s="113"/>
      <c r="C112" s="113"/>
      <c r="D112" s="113"/>
      <c r="E112" s="113"/>
      <c r="F112" s="113"/>
      <c r="G112" s="113"/>
      <c r="H112" s="113"/>
      <c r="I112" s="113"/>
      <c r="J112" s="113"/>
      <c r="K112" s="113"/>
      <c r="L112" s="113"/>
      <c r="M112" s="94"/>
      <c r="N112" s="94"/>
      <c r="O112" s="94"/>
      <c r="P112" s="94"/>
      <c r="Q112" s="94"/>
      <c r="R112" s="95"/>
      <c r="S112" s="456"/>
      <c r="T112" s="456"/>
      <c r="U112" s="456"/>
      <c r="V112" s="456"/>
      <c r="W112" s="456"/>
      <c r="X112" s="456"/>
      <c r="Y112" s="456"/>
      <c r="Z112" s="96"/>
      <c r="AA112" s="56"/>
      <c r="AB112" s="97"/>
      <c r="AC112" s="98"/>
      <c r="AD112" s="99"/>
    </row>
    <row r="113" spans="1:32" ht="30" customHeight="1" thickBot="1" x14ac:dyDescent="0.3">
      <c r="A113" s="25"/>
      <c r="B113" s="100" t="s">
        <v>274</v>
      </c>
      <c r="C113" s="100"/>
      <c r="D113" s="27"/>
      <c r="E113" s="27"/>
      <c r="F113" s="27"/>
      <c r="G113" s="27"/>
      <c r="H113" s="27"/>
      <c r="I113" s="27"/>
      <c r="J113" s="446" t="s">
        <v>316</v>
      </c>
      <c r="K113" s="447"/>
      <c r="L113" s="447"/>
      <c r="M113" s="447"/>
      <c r="N113" s="447"/>
      <c r="O113" s="447"/>
      <c r="P113" s="447"/>
      <c r="Q113" s="447"/>
      <c r="R113" s="447"/>
      <c r="S113" s="447"/>
      <c r="T113" s="447"/>
      <c r="U113" s="447"/>
      <c r="V113" s="447"/>
      <c r="W113" s="447"/>
      <c r="X113" s="448"/>
      <c r="Y113" s="101"/>
      <c r="Z113" s="28"/>
      <c r="AA113" s="28"/>
      <c r="AB113" s="28"/>
      <c r="AC113" s="28"/>
      <c r="AD113" s="29"/>
    </row>
    <row r="114" spans="1:32" ht="30" customHeight="1" thickBot="1" x14ac:dyDescent="0.3">
      <c r="A114" s="30"/>
      <c r="B114" s="102"/>
      <c r="C114" s="102"/>
      <c r="D114" s="33"/>
      <c r="E114" s="33"/>
      <c r="F114" s="33"/>
      <c r="G114" s="33"/>
      <c r="H114" s="33"/>
      <c r="I114" s="33"/>
      <c r="J114" s="449"/>
      <c r="K114" s="450"/>
      <c r="L114" s="450"/>
      <c r="M114" s="450"/>
      <c r="N114" s="450"/>
      <c r="O114" s="450"/>
      <c r="P114" s="450"/>
      <c r="Q114" s="450"/>
      <c r="R114" s="450"/>
      <c r="S114" s="450"/>
      <c r="T114" s="450"/>
      <c r="U114" s="450"/>
      <c r="V114" s="450"/>
      <c r="W114" s="450"/>
      <c r="X114" s="451"/>
      <c r="Y114" s="103"/>
      <c r="Z114" s="34"/>
      <c r="AA114" s="34"/>
      <c r="AB114" s="40" t="s">
        <v>273</v>
      </c>
      <c r="AC114" s="226">
        <f>AC108+AC91+AC74+AC66+AC50+AC37+AC23+AC11</f>
        <v>0</v>
      </c>
      <c r="AD114" s="35"/>
    </row>
    <row r="115" spans="1:32" ht="30" customHeight="1" thickBot="1" x14ac:dyDescent="0.3">
      <c r="A115" s="30"/>
      <c r="B115" s="33"/>
      <c r="C115" s="33"/>
      <c r="D115" s="33"/>
      <c r="E115" s="33"/>
      <c r="F115" s="33"/>
      <c r="G115" s="104"/>
      <c r="H115" s="104"/>
      <c r="I115" s="33"/>
      <c r="J115" s="452"/>
      <c r="K115" s="453"/>
      <c r="L115" s="453"/>
      <c r="M115" s="453"/>
      <c r="N115" s="453"/>
      <c r="O115" s="453"/>
      <c r="P115" s="453"/>
      <c r="Q115" s="453"/>
      <c r="R115" s="453"/>
      <c r="S115" s="453"/>
      <c r="T115" s="453"/>
      <c r="U115" s="453"/>
      <c r="V115" s="453"/>
      <c r="W115" s="453"/>
      <c r="X115" s="454"/>
      <c r="Y115" s="103"/>
      <c r="Z115" s="34"/>
      <c r="AA115" s="34"/>
      <c r="AB115" s="40" t="s">
        <v>347</v>
      </c>
      <c r="AC115" s="226">
        <f>ROUND(AC114*0.09,2)</f>
        <v>0</v>
      </c>
      <c r="AD115" s="35"/>
      <c r="AF115" s="105"/>
    </row>
    <row r="116" spans="1:32" ht="30" customHeight="1" thickBot="1" x14ac:dyDescent="0.3">
      <c r="A116" s="30"/>
      <c r="B116" s="33"/>
      <c r="C116" s="33"/>
      <c r="D116" s="33"/>
      <c r="E116" s="33"/>
      <c r="F116" s="33"/>
      <c r="G116" s="104"/>
      <c r="H116" s="104"/>
      <c r="I116" s="33"/>
      <c r="J116" s="33"/>
      <c r="K116" s="33"/>
      <c r="L116" s="33"/>
      <c r="M116" s="33"/>
      <c r="N116" s="33"/>
      <c r="O116" s="33"/>
      <c r="P116" s="33"/>
      <c r="Q116" s="33"/>
      <c r="R116" s="33"/>
      <c r="S116" s="33"/>
      <c r="T116" s="33"/>
      <c r="U116" s="33"/>
      <c r="V116" s="33"/>
      <c r="W116" s="33"/>
      <c r="X116" s="33"/>
      <c r="Y116" s="33"/>
      <c r="Z116" s="34"/>
      <c r="AA116" s="34"/>
      <c r="AB116" s="40" t="s">
        <v>275</v>
      </c>
      <c r="AC116" s="121">
        <f>AC114+AC115</f>
        <v>0</v>
      </c>
      <c r="AD116" s="35"/>
      <c r="AF116" s="105"/>
    </row>
    <row r="117" spans="1:32" ht="15" customHeight="1" thickBot="1" x14ac:dyDescent="0.3">
      <c r="A117" s="30"/>
      <c r="B117" s="33"/>
      <c r="C117" s="33"/>
      <c r="D117" s="33"/>
      <c r="E117" s="33"/>
      <c r="F117" s="33"/>
      <c r="G117" s="104"/>
      <c r="H117" s="104"/>
      <c r="I117" s="33"/>
      <c r="J117" s="33"/>
      <c r="K117" s="33"/>
      <c r="L117" s="33"/>
      <c r="M117" s="33"/>
      <c r="N117" s="33"/>
      <c r="O117" s="33"/>
      <c r="P117" s="33"/>
      <c r="Q117" s="33"/>
      <c r="R117" s="33"/>
      <c r="S117" s="33"/>
      <c r="T117" s="33"/>
      <c r="U117" s="33"/>
      <c r="V117" s="33"/>
      <c r="W117" s="33"/>
      <c r="X117" s="33"/>
      <c r="Y117" s="33"/>
      <c r="Z117" s="34"/>
      <c r="AA117" s="34"/>
      <c r="AB117" s="34"/>
      <c r="AC117" s="126"/>
      <c r="AD117" s="35"/>
      <c r="AF117" s="105"/>
    </row>
    <row r="118" spans="1:32" ht="30" customHeight="1" thickBot="1" x14ac:dyDescent="0.3">
      <c r="A118" s="30"/>
      <c r="B118" s="33"/>
      <c r="C118" s="33"/>
      <c r="D118" s="33"/>
      <c r="E118" s="33"/>
      <c r="F118" s="33"/>
      <c r="G118" s="104"/>
      <c r="H118" s="104"/>
      <c r="I118" s="33"/>
      <c r="J118" s="33"/>
      <c r="K118" s="33"/>
      <c r="L118" s="33"/>
      <c r="M118" s="33"/>
      <c r="N118" s="33"/>
      <c r="O118" s="33"/>
      <c r="P118" s="33"/>
      <c r="Q118" s="33"/>
      <c r="R118" s="33"/>
      <c r="S118" s="33"/>
      <c r="T118" s="33"/>
      <c r="U118" s="33"/>
      <c r="V118" s="33"/>
      <c r="W118" s="33"/>
      <c r="X118" s="33"/>
      <c r="Y118" s="33"/>
      <c r="Z118" s="34"/>
      <c r="AA118" s="34"/>
      <c r="AB118" s="106" t="s">
        <v>109</v>
      </c>
      <c r="AC118" s="235">
        <v>0</v>
      </c>
      <c r="AD118" s="107"/>
      <c r="AF118" s="105"/>
    </row>
    <row r="119" spans="1:32" ht="15" customHeight="1" thickBot="1" x14ac:dyDescent="0.3">
      <c r="A119" s="30"/>
      <c r="B119" s="33"/>
      <c r="C119" s="33"/>
      <c r="D119" s="33"/>
      <c r="E119" s="33"/>
      <c r="F119" s="33"/>
      <c r="G119" s="104"/>
      <c r="H119" s="104"/>
      <c r="I119" s="33"/>
      <c r="J119" s="33"/>
      <c r="K119" s="33"/>
      <c r="L119" s="33"/>
      <c r="M119" s="33"/>
      <c r="N119" s="33"/>
      <c r="O119" s="33"/>
      <c r="P119" s="33"/>
      <c r="Q119" s="33"/>
      <c r="R119" s="33"/>
      <c r="S119" s="33"/>
      <c r="T119" s="33"/>
      <c r="U119" s="33"/>
      <c r="V119" s="33"/>
      <c r="W119" s="33"/>
      <c r="X119" s="33"/>
      <c r="Y119" s="33"/>
      <c r="Z119" s="34"/>
      <c r="AA119" s="34"/>
      <c r="AB119" s="108" t="s">
        <v>353</v>
      </c>
      <c r="AC119" s="126"/>
      <c r="AD119" s="35"/>
      <c r="AF119" s="105"/>
    </row>
    <row r="120" spans="1:32" ht="29.25" customHeight="1" thickBot="1" x14ac:dyDescent="0.3">
      <c r="A120" s="30"/>
      <c r="B120" s="33"/>
      <c r="C120" s="33"/>
      <c r="D120" s="33"/>
      <c r="E120" s="33"/>
      <c r="F120" s="33"/>
      <c r="G120" s="104"/>
      <c r="H120" s="104"/>
      <c r="I120" s="33"/>
      <c r="J120" s="33"/>
      <c r="K120" s="33"/>
      <c r="L120" s="33"/>
      <c r="M120" s="33"/>
      <c r="N120" s="33"/>
      <c r="O120" s="33"/>
      <c r="P120" s="33"/>
      <c r="Q120" s="33"/>
      <c r="R120" s="33"/>
      <c r="S120" s="33"/>
      <c r="T120" s="33"/>
      <c r="U120" s="33"/>
      <c r="V120" s="33"/>
      <c r="W120" s="33"/>
      <c r="X120" s="33"/>
      <c r="Y120" s="33"/>
      <c r="Z120" s="34"/>
      <c r="AA120" s="34"/>
      <c r="AB120" s="109" t="s">
        <v>348</v>
      </c>
      <c r="AC120" s="236">
        <f>AC116-AC118</f>
        <v>0</v>
      </c>
      <c r="AD120" s="35"/>
    </row>
    <row r="121" spans="1:32" ht="3.75" customHeight="1" thickBot="1" x14ac:dyDescent="0.3">
      <c r="A121" s="30"/>
      <c r="B121" s="33"/>
      <c r="C121" s="33"/>
      <c r="D121" s="33"/>
      <c r="E121" s="33"/>
      <c r="F121" s="33"/>
      <c r="G121" s="104"/>
      <c r="H121" s="104"/>
      <c r="I121" s="33"/>
      <c r="J121" s="33"/>
      <c r="K121" s="33"/>
      <c r="L121" s="33"/>
      <c r="M121" s="33"/>
      <c r="N121" s="33"/>
      <c r="O121" s="33"/>
      <c r="P121" s="33"/>
      <c r="Q121" s="33"/>
      <c r="R121" s="33"/>
      <c r="S121" s="33"/>
      <c r="T121" s="33"/>
      <c r="U121" s="33"/>
      <c r="V121" s="33"/>
      <c r="W121" s="33"/>
      <c r="X121" s="33"/>
      <c r="Y121" s="33"/>
      <c r="Z121" s="34"/>
      <c r="AA121" s="34"/>
      <c r="AB121" s="34"/>
      <c r="AC121" s="40"/>
      <c r="AD121" s="35"/>
    </row>
    <row r="122" spans="1:32" ht="30" customHeight="1" thickBot="1" x14ac:dyDescent="0.3">
      <c r="A122" s="30"/>
      <c r="B122" s="33"/>
      <c r="C122" s="33"/>
      <c r="D122" s="33"/>
      <c r="E122" s="33"/>
      <c r="F122" s="33"/>
      <c r="G122" s="33"/>
      <c r="H122" s="33"/>
      <c r="I122" s="33"/>
      <c r="J122" s="33"/>
      <c r="K122" s="33"/>
      <c r="L122" s="33"/>
      <c r="M122" s="33"/>
      <c r="N122" s="33"/>
      <c r="O122" s="33"/>
      <c r="P122" s="33"/>
      <c r="Q122" s="33"/>
      <c r="R122" s="33"/>
      <c r="S122" s="33"/>
      <c r="T122" s="33"/>
      <c r="U122" s="33"/>
      <c r="V122" s="33"/>
      <c r="W122" s="33"/>
      <c r="X122" s="33"/>
      <c r="Y122" s="33"/>
      <c r="Z122" s="34"/>
      <c r="AA122" s="34"/>
      <c r="AB122" s="109" t="s">
        <v>349</v>
      </c>
      <c r="AC122" s="236">
        <f>26*AC120</f>
        <v>0</v>
      </c>
      <c r="AD122" s="35"/>
    </row>
    <row r="123" spans="1:32" ht="3.75" customHeight="1" x14ac:dyDescent="0.25">
      <c r="A123" s="44"/>
      <c r="B123" s="45"/>
      <c r="C123" s="45"/>
      <c r="D123" s="45"/>
      <c r="E123" s="45"/>
      <c r="F123" s="45"/>
      <c r="G123" s="45"/>
      <c r="H123" s="45"/>
      <c r="I123" s="45"/>
      <c r="J123" s="45"/>
      <c r="K123" s="45"/>
      <c r="L123" s="45"/>
      <c r="M123" s="45"/>
      <c r="N123" s="45"/>
      <c r="O123" s="45"/>
      <c r="P123" s="45"/>
      <c r="Q123" s="45"/>
      <c r="R123" s="45"/>
      <c r="S123" s="45"/>
      <c r="T123" s="45"/>
      <c r="U123" s="45"/>
      <c r="V123" s="45"/>
      <c r="W123" s="45"/>
      <c r="X123" s="45"/>
      <c r="Y123" s="45"/>
      <c r="Z123" s="46"/>
      <c r="AA123" s="46"/>
      <c r="AB123" s="46"/>
      <c r="AC123" s="46"/>
      <c r="AD123" s="47"/>
    </row>
    <row r="124" spans="1:32" ht="21" customHeight="1" x14ac:dyDescent="0.25"/>
    <row r="125" spans="1:32" ht="21" customHeight="1" x14ac:dyDescent="0.25"/>
    <row r="126" spans="1:32" ht="21" customHeight="1" x14ac:dyDescent="0.25"/>
    <row r="127" spans="1:32" ht="21" customHeight="1" x14ac:dyDescent="0.25"/>
    <row r="128" spans="1:32" ht="21" customHeight="1" x14ac:dyDescent="0.25"/>
    <row r="129" ht="21" customHeight="1" x14ac:dyDescent="0.25"/>
    <row r="130" ht="21" customHeight="1" x14ac:dyDescent="0.25"/>
    <row r="131" ht="21" customHeight="1" x14ac:dyDescent="0.25"/>
    <row r="132" ht="21" customHeight="1" x14ac:dyDescent="0.25"/>
    <row r="133" ht="21" customHeight="1" x14ac:dyDescent="0.25"/>
  </sheetData>
  <sheetProtection sheet="1" selectLockedCells="1"/>
  <protectedRanges>
    <protectedRange password="C3A2" sqref="I4 Q4 U4 B9 B11 B13 B15 Q9 Q11 Q13 Q15 B19 B21 B23 B35 B37 B39 V35 B48 B50 V50 Q57 Q59 V61 B61 B63 B74 B76 B84 B86 I84 I86 U84 U91 I91 I93 B101 B103 I101 I103 U101 U108 I108 I110 B110 AC118 B41 B43" name="Reponses"/>
  </protectedRanges>
  <mergeCells count="86">
    <mergeCell ref="X57:Y59"/>
    <mergeCell ref="L66:L70"/>
    <mergeCell ref="F61:H63"/>
    <mergeCell ref="B83:H83"/>
    <mergeCell ref="D39:N39"/>
    <mergeCell ref="S57:W57"/>
    <mergeCell ref="S59:W59"/>
    <mergeCell ref="D66:K66"/>
    <mergeCell ref="F48:K50"/>
    <mergeCell ref="B52:Q52"/>
    <mergeCell ref="B53:Q53"/>
    <mergeCell ref="D61:E61"/>
    <mergeCell ref="D65:K65"/>
    <mergeCell ref="N68:U68"/>
    <mergeCell ref="N70:U70"/>
    <mergeCell ref="D23:L23"/>
    <mergeCell ref="M19:O23"/>
    <mergeCell ref="D19:L19"/>
    <mergeCell ref="D48:E48"/>
    <mergeCell ref="D50:E50"/>
    <mergeCell ref="D43:N43"/>
    <mergeCell ref="O37:Q41"/>
    <mergeCell ref="D37:N37"/>
    <mergeCell ref="B30:M31"/>
    <mergeCell ref="N47:U47"/>
    <mergeCell ref="N30:U30"/>
    <mergeCell ref="D41:N41"/>
    <mergeCell ref="D35:N35"/>
    <mergeCell ref="D25:Q25"/>
    <mergeCell ref="V1:Y2"/>
    <mergeCell ref="B1:B2"/>
    <mergeCell ref="D1:U2"/>
    <mergeCell ref="D9:L9"/>
    <mergeCell ref="B8:M8"/>
    <mergeCell ref="S9:V9"/>
    <mergeCell ref="L4:P4"/>
    <mergeCell ref="M9:O15"/>
    <mergeCell ref="W9:X15"/>
    <mergeCell ref="D15:L15"/>
    <mergeCell ref="W19:AB21"/>
    <mergeCell ref="S11:V11"/>
    <mergeCell ref="S13:V13"/>
    <mergeCell ref="S15:V15"/>
    <mergeCell ref="D11:L11"/>
    <mergeCell ref="D13:L13"/>
    <mergeCell ref="S19:V19"/>
    <mergeCell ref="D21:L21"/>
    <mergeCell ref="J113:X115"/>
    <mergeCell ref="K108:M108"/>
    <mergeCell ref="K110:M110"/>
    <mergeCell ref="N108:Q110"/>
    <mergeCell ref="B111:U111"/>
    <mergeCell ref="B108:F108"/>
    <mergeCell ref="S112:Y112"/>
    <mergeCell ref="D74:E74"/>
    <mergeCell ref="D63:E63"/>
    <mergeCell ref="O81:U81"/>
    <mergeCell ref="N91:Q93"/>
    <mergeCell ref="K91:M91"/>
    <mergeCell ref="K93:M93"/>
    <mergeCell ref="K84:M84"/>
    <mergeCell ref="K86:M86"/>
    <mergeCell ref="D76:E76"/>
    <mergeCell ref="U76:W76"/>
    <mergeCell ref="F74:K76"/>
    <mergeCell ref="F84:H86"/>
    <mergeCell ref="D84:E84"/>
    <mergeCell ref="D86:E86"/>
    <mergeCell ref="B91:D91"/>
    <mergeCell ref="W63:Y63"/>
    <mergeCell ref="B100:H100"/>
    <mergeCell ref="R100:Y100"/>
    <mergeCell ref="K101:M101"/>
    <mergeCell ref="K103:M103"/>
    <mergeCell ref="O98:U98"/>
    <mergeCell ref="D101:E101"/>
    <mergeCell ref="F101:H103"/>
    <mergeCell ref="D103:E103"/>
    <mergeCell ref="Z84:AA89"/>
    <mergeCell ref="N84:Q86"/>
    <mergeCell ref="R83:Y83"/>
    <mergeCell ref="R89:Y89"/>
    <mergeCell ref="Z101:AA106"/>
    <mergeCell ref="R106:Y106"/>
    <mergeCell ref="N101:Q103"/>
    <mergeCell ref="S95:Y95"/>
  </mergeCells>
  <conditionalFormatting sqref="Q4">
    <cfRule type="expression" dxfId="5" priority="1">
      <formula>"$Q$4=""X"""</formula>
    </cfRule>
    <cfRule type="expression" dxfId="4" priority="2">
      <formula>$I$4&gt;=65</formula>
    </cfRule>
  </conditionalFormatting>
  <conditionalFormatting sqref="U4">
    <cfRule type="expression" dxfId="3" priority="4">
      <formula>$I$4&gt;=65</formula>
    </cfRule>
  </conditionalFormatting>
  <pageMargins left="0.7" right="0.7" top="0.75" bottom="0.75" header="0.3" footer="0.3"/>
  <pageSetup paperSize="5" scale="3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C80000"/>
  </sheetPr>
  <dimension ref="A1:AE122"/>
  <sheetViews>
    <sheetView showGridLines="0" zoomScaleNormal="100" workbookViewId="0">
      <selection activeCell="I4" sqref="I4"/>
    </sheetView>
  </sheetViews>
  <sheetFormatPr baseColWidth="10" defaultRowHeight="15" x14ac:dyDescent="0.25"/>
  <cols>
    <col min="1" max="1" width="2.5703125" customWidth="1"/>
    <col min="2" max="2" width="4.28515625" customWidth="1"/>
    <col min="3" max="3" width="0.7109375" customWidth="1"/>
    <col min="4" max="5" width="2.140625" customWidth="1"/>
    <col min="6" max="6" width="4.140625" customWidth="1"/>
    <col min="7" max="7" width="5.7109375" customWidth="1"/>
    <col min="8" max="8" width="2" customWidth="1"/>
    <col min="9" max="9" width="4.140625" customWidth="1"/>
    <col min="10" max="10" width="1.5703125" customWidth="1"/>
    <col min="11" max="11" width="6.7109375" customWidth="1"/>
    <col min="12" max="12" width="24.140625" customWidth="1"/>
    <col min="13" max="13" width="6.28515625" customWidth="1"/>
    <col min="14" max="14" width="3.5703125" customWidth="1"/>
    <col min="15" max="15" width="4.7109375" customWidth="1"/>
    <col min="16" max="16" width="5.42578125" customWidth="1"/>
    <col min="17" max="17" width="4.28515625" customWidth="1"/>
    <col min="18" max="18" width="0.7109375" customWidth="1"/>
    <col min="19" max="19" width="5.7109375" customWidth="1"/>
    <col min="20" max="20" width="4.5703125" customWidth="1"/>
    <col min="21" max="21" width="4.85546875" customWidth="1"/>
    <col min="22" max="22" width="15.5703125" customWidth="1"/>
    <col min="23" max="23" width="23" customWidth="1"/>
    <col min="24" max="24" width="13.28515625" customWidth="1"/>
    <col min="25" max="25" width="12.140625" customWidth="1"/>
    <col min="27" max="27" width="11.5703125" customWidth="1"/>
    <col min="28" max="28" width="18.28515625" customWidth="1"/>
    <col min="29" max="29" width="2.28515625" customWidth="1"/>
  </cols>
  <sheetData>
    <row r="1" spans="1:31" ht="121.5" customHeight="1" x14ac:dyDescent="0.25">
      <c r="B1" s="498"/>
      <c r="C1" s="425"/>
      <c r="D1" s="499"/>
      <c r="E1" s="499"/>
      <c r="F1" s="499"/>
      <c r="G1" s="499"/>
      <c r="H1" s="499"/>
      <c r="I1" s="499"/>
      <c r="J1" s="499"/>
      <c r="K1" s="499"/>
      <c r="L1" s="499"/>
      <c r="M1" s="499"/>
      <c r="N1" s="499"/>
      <c r="O1" s="499"/>
      <c r="P1" s="499"/>
      <c r="Q1" s="499"/>
      <c r="R1" s="499"/>
      <c r="S1" s="499"/>
      <c r="T1" s="499"/>
      <c r="U1" s="498"/>
      <c r="V1" s="498"/>
      <c r="W1" s="498"/>
      <c r="X1" s="498"/>
      <c r="AD1" s="320"/>
    </row>
    <row r="2" spans="1:31" ht="39.75" customHeight="1" x14ac:dyDescent="0.35">
      <c r="A2" s="117"/>
      <c r="B2" s="463"/>
      <c r="C2" s="12"/>
      <c r="D2" s="465"/>
      <c r="E2" s="465"/>
      <c r="F2" s="465"/>
      <c r="G2" s="465"/>
      <c r="H2" s="465"/>
      <c r="I2" s="465"/>
      <c r="J2" s="465"/>
      <c r="K2" s="465"/>
      <c r="L2" s="465"/>
      <c r="M2" s="465"/>
      <c r="N2" s="465"/>
      <c r="O2" s="465"/>
      <c r="P2" s="465"/>
      <c r="Q2" s="465"/>
      <c r="R2" s="465"/>
      <c r="S2" s="465"/>
      <c r="T2" s="465"/>
      <c r="U2" s="463"/>
      <c r="V2" s="463"/>
      <c r="W2" s="463"/>
      <c r="X2" s="463"/>
      <c r="Y2" s="117"/>
      <c r="Z2" s="117"/>
      <c r="AA2" s="117"/>
      <c r="AB2" s="117"/>
      <c r="AC2" s="117"/>
      <c r="AE2" s="321"/>
    </row>
    <row r="3" spans="1:31" ht="27.75" customHeight="1" thickBot="1" x14ac:dyDescent="0.4">
      <c r="A3" s="311"/>
      <c r="B3" s="49" t="s">
        <v>125</v>
      </c>
      <c r="C3" s="49"/>
      <c r="D3" s="49"/>
      <c r="E3" s="49"/>
      <c r="F3" s="17"/>
      <c r="G3" s="17"/>
      <c r="H3" s="17"/>
      <c r="I3" s="17"/>
      <c r="J3" s="17"/>
      <c r="K3" s="17"/>
      <c r="L3" s="17"/>
      <c r="M3" s="17"/>
      <c r="N3" s="17"/>
      <c r="O3" s="17"/>
      <c r="P3" s="17"/>
      <c r="Q3" s="427" t="str">
        <f>IF(I4&gt;=65,IF(COUNTBLANK(Q4:U4)&lt;3,"You can't choose more than one answer",IF(COUNTBLANK(Q4:U4)=4,"Write an X beside your choice and erase the other one","")),"")</f>
        <v/>
      </c>
      <c r="R3" s="17"/>
      <c r="S3" s="305"/>
      <c r="T3" s="305"/>
      <c r="U3" s="305"/>
      <c r="V3" s="17"/>
      <c r="W3" s="17"/>
      <c r="X3" s="17"/>
      <c r="Y3" s="17"/>
      <c r="Z3" s="17"/>
      <c r="AA3" s="17"/>
      <c r="AB3" s="17"/>
      <c r="AC3" s="19"/>
    </row>
    <row r="4" spans="1:31" ht="22.9" customHeight="1" thickBot="1" x14ac:dyDescent="0.4">
      <c r="A4" s="311"/>
      <c r="B4" s="17"/>
      <c r="C4" s="20"/>
      <c r="D4" s="21"/>
      <c r="E4" s="17"/>
      <c r="F4" s="17"/>
      <c r="G4" s="17"/>
      <c r="H4" s="301" t="s">
        <v>289</v>
      </c>
      <c r="I4" s="316"/>
      <c r="J4" s="300" t="s">
        <v>290</v>
      </c>
      <c r="K4" s="302"/>
      <c r="L4" s="466" t="str">
        <f>IF(I4&gt;=65,"Are you registered with the RMAQ ? ","")</f>
        <v/>
      </c>
      <c r="M4" s="467"/>
      <c r="N4" s="467"/>
      <c r="O4" s="467"/>
      <c r="P4" s="467"/>
      <c r="Q4" s="304"/>
      <c r="R4" s="298" t="str">
        <f>IF(I4&gt;=65,"Yes","")</f>
        <v/>
      </c>
      <c r="S4" s="306"/>
      <c r="T4" s="17"/>
      <c r="U4" s="304"/>
      <c r="V4" s="298" t="str">
        <f>IF(I4&gt;=65,"No","")</f>
        <v/>
      </c>
      <c r="W4" s="17"/>
      <c r="X4" s="17"/>
      <c r="Y4" s="17"/>
      <c r="Z4" s="17"/>
      <c r="AA4" s="17"/>
      <c r="AB4" s="17"/>
      <c r="AC4" s="19"/>
    </row>
    <row r="5" spans="1:31" ht="21" x14ac:dyDescent="0.35">
      <c r="A5" s="16"/>
      <c r="B5" s="17"/>
      <c r="C5" s="49"/>
      <c r="D5" s="49"/>
      <c r="E5" s="49"/>
      <c r="F5" s="17"/>
      <c r="G5" s="17"/>
      <c r="H5" s="17"/>
      <c r="I5" s="17"/>
      <c r="J5" s="17"/>
      <c r="K5" s="17"/>
      <c r="L5" s="17"/>
      <c r="M5" s="17"/>
      <c r="N5" s="17"/>
      <c r="O5" s="17"/>
      <c r="P5" s="17"/>
      <c r="Q5" s="299" t="str">
        <f>IF(I4&gt;=65,"",IF(AND(I4&lt;65,U4="",Q4=""),"","Erace the X obove"))</f>
        <v/>
      </c>
      <c r="R5" s="17"/>
      <c r="S5" s="17"/>
      <c r="T5" s="17"/>
      <c r="U5" s="17"/>
      <c r="V5" s="17"/>
      <c r="W5" s="17"/>
      <c r="X5" s="17"/>
      <c r="Y5" s="17"/>
      <c r="Z5" s="17"/>
      <c r="AA5" s="17"/>
      <c r="AB5" s="17"/>
      <c r="AC5" s="19"/>
    </row>
    <row r="6" spans="1:31" ht="15.75" customHeight="1" thickBot="1" x14ac:dyDescent="0.3">
      <c r="A6" s="16"/>
      <c r="B6" s="399" t="s">
        <v>311</v>
      </c>
      <c r="C6" s="399"/>
      <c r="D6" s="399"/>
      <c r="E6" s="399"/>
      <c r="F6" s="399"/>
      <c r="G6" s="399"/>
      <c r="H6" s="399"/>
      <c r="I6" s="399"/>
      <c r="J6" s="399"/>
      <c r="K6" s="399"/>
      <c r="L6" s="399"/>
      <c r="M6" s="399"/>
      <c r="N6" s="399"/>
      <c r="O6" s="399"/>
      <c r="P6" s="17"/>
      <c r="Q6" s="382" t="s">
        <v>126</v>
      </c>
      <c r="R6" s="17"/>
      <c r="S6" s="17"/>
      <c r="T6" s="17"/>
      <c r="U6" s="17"/>
      <c r="V6" s="17"/>
      <c r="W6" s="17"/>
      <c r="X6" s="17"/>
      <c r="Y6" s="17"/>
      <c r="Z6" s="17"/>
      <c r="AA6" s="18"/>
      <c r="AB6" s="18"/>
      <c r="AC6" s="19"/>
    </row>
    <row r="7" spans="1:31" ht="21.75" customHeight="1" thickBot="1" x14ac:dyDescent="0.4">
      <c r="A7" s="16"/>
      <c r="B7" s="119"/>
      <c r="C7" s="20"/>
      <c r="D7" s="434" t="s">
        <v>127</v>
      </c>
      <c r="E7" s="435"/>
      <c r="F7" s="435"/>
      <c r="G7" s="435"/>
      <c r="H7" s="435"/>
      <c r="I7" s="435"/>
      <c r="J7" s="435"/>
      <c r="K7" s="435"/>
      <c r="L7" s="436"/>
      <c r="M7" s="429" t="str">
        <f>IF(COUNTBLANK(B7:B13)&lt;6,"You can't choose more than one answer",IF(COUNTBLANK(B7:B13)=7,"You have to choose an answer",""))</f>
        <v>You have to choose an answer</v>
      </c>
      <c r="N7" s="429"/>
      <c r="O7" s="429"/>
      <c r="P7" s="17"/>
      <c r="Q7" s="119"/>
      <c r="R7" s="17"/>
      <c r="S7" s="434" t="s">
        <v>128</v>
      </c>
      <c r="T7" s="435"/>
      <c r="U7" s="436"/>
      <c r="V7" s="429" t="str">
        <f>IF(AND(A13="X",OR(COUNTIF(Q7:Q13,"X")=0,COUNTIF(Q7:Q13,"X")=1)),"",IF(COUNTIF(Q7:Q13,"X")&gt;1,"You can't choose more than one answer",IF(COUNTBLANK(Q7:Q13)=7,"You have to choose a coverage status","")))</f>
        <v>You have to choose a coverage status</v>
      </c>
      <c r="W7" s="429"/>
      <c r="X7" s="17"/>
      <c r="Y7" s="18"/>
      <c r="Z7" s="22"/>
      <c r="AA7" s="18"/>
      <c r="AB7" s="18"/>
      <c r="AC7" s="19"/>
    </row>
    <row r="8" spans="1:31" ht="4.5" customHeight="1" thickBot="1" x14ac:dyDescent="0.4">
      <c r="A8" s="16"/>
      <c r="B8" s="208"/>
      <c r="C8" s="20"/>
      <c r="D8" s="21"/>
      <c r="E8" s="21"/>
      <c r="F8" s="21"/>
      <c r="G8" s="21"/>
      <c r="H8" s="21"/>
      <c r="I8" s="21"/>
      <c r="J8" s="21"/>
      <c r="K8" s="21"/>
      <c r="L8" s="21"/>
      <c r="M8" s="429"/>
      <c r="N8" s="429"/>
      <c r="O8" s="429"/>
      <c r="P8" s="17"/>
      <c r="Q8" s="209"/>
      <c r="R8" s="17"/>
      <c r="S8" s="21"/>
      <c r="T8" s="21"/>
      <c r="U8" s="21"/>
      <c r="V8" s="429"/>
      <c r="W8" s="429"/>
      <c r="X8" s="17"/>
      <c r="Y8" s="18"/>
      <c r="Z8" s="22"/>
      <c r="AA8" s="18"/>
      <c r="AB8" s="18"/>
      <c r="AC8" s="19"/>
    </row>
    <row r="9" spans="1:31" ht="21.75" customHeight="1" thickBot="1" x14ac:dyDescent="0.4">
      <c r="A9" s="16"/>
      <c r="B9" s="119"/>
      <c r="C9" s="20"/>
      <c r="D9" s="434" t="s">
        <v>129</v>
      </c>
      <c r="E9" s="435"/>
      <c r="F9" s="435"/>
      <c r="G9" s="435"/>
      <c r="H9" s="435"/>
      <c r="I9" s="435"/>
      <c r="J9" s="435"/>
      <c r="K9" s="435"/>
      <c r="L9" s="436"/>
      <c r="M9" s="429"/>
      <c r="N9" s="429"/>
      <c r="O9" s="429"/>
      <c r="P9" s="17"/>
      <c r="Q9" s="119"/>
      <c r="R9" s="17"/>
      <c r="S9" s="434" t="s">
        <v>130</v>
      </c>
      <c r="T9" s="435"/>
      <c r="U9" s="436"/>
      <c r="V9" s="429"/>
      <c r="W9" s="429"/>
      <c r="X9" s="17"/>
      <c r="Y9" s="18"/>
      <c r="Z9" s="18"/>
      <c r="AA9" s="18"/>
      <c r="AB9" s="18"/>
      <c r="AC9" s="19"/>
    </row>
    <row r="10" spans="1:31" ht="4.5" customHeight="1" thickBot="1" x14ac:dyDescent="0.4">
      <c r="A10" s="16"/>
      <c r="B10" s="208"/>
      <c r="C10" s="20"/>
      <c r="D10" s="21"/>
      <c r="E10" s="21"/>
      <c r="F10" s="21"/>
      <c r="G10" s="21"/>
      <c r="H10" s="21"/>
      <c r="I10" s="21"/>
      <c r="J10" s="21"/>
      <c r="K10" s="21"/>
      <c r="L10" s="21"/>
      <c r="M10" s="429"/>
      <c r="N10" s="429"/>
      <c r="O10" s="429"/>
      <c r="P10" s="17"/>
      <c r="Q10" s="209"/>
      <c r="R10" s="17"/>
      <c r="S10" s="21"/>
      <c r="T10" s="21"/>
      <c r="U10" s="21"/>
      <c r="V10" s="429"/>
      <c r="W10" s="429"/>
      <c r="X10" s="17"/>
      <c r="Y10" s="18"/>
      <c r="Z10" s="18"/>
      <c r="AA10" s="18"/>
      <c r="AB10" s="18"/>
      <c r="AC10" s="19"/>
    </row>
    <row r="11" spans="1:31" ht="21.75" customHeight="1" thickBot="1" x14ac:dyDescent="0.4">
      <c r="A11" s="16"/>
      <c r="B11" s="119"/>
      <c r="C11" s="20"/>
      <c r="D11" s="434" t="s">
        <v>131</v>
      </c>
      <c r="E11" s="435"/>
      <c r="F11" s="435"/>
      <c r="G11" s="435"/>
      <c r="H11" s="435"/>
      <c r="I11" s="435"/>
      <c r="J11" s="435"/>
      <c r="K11" s="435"/>
      <c r="L11" s="436"/>
      <c r="M11" s="429"/>
      <c r="N11" s="429"/>
      <c r="O11" s="429"/>
      <c r="P11" s="17"/>
      <c r="Q11" s="119"/>
      <c r="R11" s="17"/>
      <c r="S11" s="434" t="s">
        <v>132</v>
      </c>
      <c r="T11" s="435"/>
      <c r="U11" s="436"/>
      <c r="V11" s="429"/>
      <c r="W11" s="429"/>
      <c r="X11" s="17"/>
      <c r="Y11" s="18"/>
      <c r="Z11" s="18"/>
      <c r="AA11" s="23" t="s">
        <v>324</v>
      </c>
      <c r="AB11" s="202">
        <f>IF(AND(V7="",M9="",Q3=""),'Taux anglais'!F22,0)</f>
        <v>0</v>
      </c>
      <c r="AC11" s="19"/>
    </row>
    <row r="12" spans="1:31" ht="4.5" customHeight="1" thickBot="1" x14ac:dyDescent="0.4">
      <c r="A12" s="16"/>
      <c r="B12" s="208"/>
      <c r="C12" s="20"/>
      <c r="D12" s="21"/>
      <c r="E12" s="21"/>
      <c r="F12" s="21"/>
      <c r="G12" s="21"/>
      <c r="H12" s="21"/>
      <c r="I12" s="21"/>
      <c r="J12" s="21"/>
      <c r="K12" s="21"/>
      <c r="L12" s="21"/>
      <c r="M12" s="429"/>
      <c r="N12" s="429"/>
      <c r="O12" s="429"/>
      <c r="P12" s="17"/>
      <c r="Q12" s="209"/>
      <c r="R12" s="17"/>
      <c r="S12" s="21"/>
      <c r="T12" s="21"/>
      <c r="U12" s="21"/>
      <c r="V12" s="429"/>
      <c r="W12" s="429"/>
      <c r="X12" s="17"/>
      <c r="Y12" s="18"/>
      <c r="Z12" s="17"/>
      <c r="AA12" s="17"/>
      <c r="AB12" s="17"/>
      <c r="AC12" s="19"/>
    </row>
    <row r="13" spans="1:31" ht="21.75" customHeight="1" thickBot="1" x14ac:dyDescent="0.4">
      <c r="A13" s="16"/>
      <c r="B13" s="119"/>
      <c r="C13" s="20"/>
      <c r="D13" s="434" t="s">
        <v>133</v>
      </c>
      <c r="E13" s="435"/>
      <c r="F13" s="435"/>
      <c r="G13" s="435"/>
      <c r="H13" s="435"/>
      <c r="I13" s="435"/>
      <c r="J13" s="435"/>
      <c r="K13" s="435"/>
      <c r="L13" s="436"/>
      <c r="M13" s="429"/>
      <c r="N13" s="429"/>
      <c r="O13" s="429"/>
      <c r="P13" s="17"/>
      <c r="Q13" s="119"/>
      <c r="R13" s="17"/>
      <c r="S13" s="434" t="s">
        <v>11</v>
      </c>
      <c r="T13" s="435"/>
      <c r="U13" s="436"/>
      <c r="V13" s="429"/>
      <c r="W13" s="429"/>
      <c r="X13" s="17"/>
      <c r="Y13" s="18"/>
      <c r="Z13" s="22"/>
      <c r="AA13" s="23" t="s">
        <v>325</v>
      </c>
      <c r="AB13" s="202">
        <f>26*AB11</f>
        <v>0</v>
      </c>
      <c r="AC13" s="19"/>
    </row>
    <row r="14" spans="1:31" ht="3.75" customHeight="1" x14ac:dyDescent="0.35">
      <c r="A14" s="16"/>
      <c r="B14" s="20"/>
      <c r="C14" s="21"/>
      <c r="D14" s="21"/>
      <c r="E14" s="21"/>
      <c r="F14" s="21"/>
      <c r="G14" s="21"/>
      <c r="H14" s="21"/>
      <c r="I14" s="21"/>
      <c r="J14" s="21"/>
      <c r="K14" s="21"/>
      <c r="L14" s="17"/>
      <c r="M14" s="21"/>
      <c r="N14" s="17"/>
      <c r="O14" s="17"/>
      <c r="P14" s="17"/>
      <c r="Q14" s="17"/>
      <c r="R14" s="17"/>
      <c r="S14" s="22"/>
      <c r="T14" s="22"/>
      <c r="U14" s="22"/>
      <c r="V14" s="22"/>
      <c r="W14" s="22"/>
      <c r="X14" s="22"/>
      <c r="Y14" s="18"/>
      <c r="Z14" s="17"/>
      <c r="AA14" s="23"/>
      <c r="AB14" s="18"/>
      <c r="AC14" s="19"/>
    </row>
    <row r="15" spans="1:31" x14ac:dyDescent="0.25">
      <c r="A15" s="16"/>
      <c r="B15" s="17"/>
      <c r="C15" s="17"/>
      <c r="D15" s="17"/>
      <c r="E15" s="17"/>
      <c r="F15" s="17"/>
      <c r="G15" s="17"/>
      <c r="H15" s="17"/>
      <c r="I15" s="17"/>
      <c r="J15" s="17"/>
      <c r="K15" s="17"/>
      <c r="L15" s="17"/>
      <c r="M15" s="17"/>
      <c r="N15" s="17"/>
      <c r="O15" s="17"/>
      <c r="P15" s="17"/>
      <c r="Q15" s="17"/>
      <c r="R15" s="24"/>
      <c r="S15" s="17"/>
      <c r="T15" s="17"/>
      <c r="U15" s="17"/>
      <c r="V15" s="17"/>
      <c r="W15" s="17"/>
      <c r="X15" s="17"/>
      <c r="Y15" s="22"/>
      <c r="Z15" s="22"/>
      <c r="AA15" s="17"/>
      <c r="AB15" s="340" t="str">
        <f xml:space="preserve"> IF(AB11&gt;0,"This cost doesn't include the 9 % sales tax","")</f>
        <v/>
      </c>
      <c r="AC15" s="19"/>
    </row>
    <row r="16" spans="1:31" ht="4.5" customHeight="1" x14ac:dyDescent="0.35">
      <c r="A16" s="16"/>
      <c r="B16" s="20"/>
      <c r="C16" s="20"/>
      <c r="D16" s="20"/>
      <c r="E16" s="20"/>
      <c r="F16" s="20"/>
      <c r="G16" s="20"/>
      <c r="H16" s="20"/>
      <c r="I16" s="20"/>
      <c r="J16" s="20"/>
      <c r="K16" s="20"/>
      <c r="L16" s="20"/>
      <c r="M16" s="17"/>
      <c r="N16" s="17"/>
      <c r="O16" s="17"/>
      <c r="P16" s="17"/>
      <c r="Q16" s="17"/>
      <c r="R16" s="24"/>
      <c r="S16" s="17"/>
      <c r="T16" s="17"/>
      <c r="U16" s="17"/>
      <c r="V16" s="17"/>
      <c r="W16" s="17"/>
      <c r="X16" s="17"/>
      <c r="Y16" s="22"/>
      <c r="Z16" s="22"/>
      <c r="AA16" s="22"/>
      <c r="AB16" s="18"/>
      <c r="AC16" s="19"/>
    </row>
    <row r="17" spans="1:29" ht="21" x14ac:dyDescent="0.35">
      <c r="A17" s="25"/>
      <c r="B17" s="26" t="s">
        <v>134</v>
      </c>
      <c r="C17" s="26"/>
      <c r="D17" s="27"/>
      <c r="E17" s="27"/>
      <c r="F17" s="27"/>
      <c r="G17" s="27"/>
      <c r="H17" s="27"/>
      <c r="I17" s="27"/>
      <c r="J17" s="27"/>
      <c r="K17" s="27"/>
      <c r="L17" s="27"/>
      <c r="M17" s="27"/>
      <c r="N17" s="27"/>
      <c r="O17" s="27"/>
      <c r="P17" s="27"/>
      <c r="Q17" s="27"/>
      <c r="R17" s="27"/>
      <c r="S17" s="27"/>
      <c r="T17" s="27"/>
      <c r="U17" s="27"/>
      <c r="V17" s="27"/>
      <c r="W17" s="27"/>
      <c r="X17" s="27"/>
      <c r="Y17" s="28"/>
      <c r="Z17" s="28"/>
      <c r="AA17" s="28"/>
      <c r="AB17" s="28"/>
      <c r="AC17" s="29"/>
    </row>
    <row r="18" spans="1:29" ht="21.75" thickBot="1" x14ac:dyDescent="0.4">
      <c r="A18" s="30"/>
      <c r="B18" s="32" t="s">
        <v>135</v>
      </c>
      <c r="C18" s="31"/>
      <c r="D18" s="32"/>
      <c r="E18" s="33"/>
      <c r="F18" s="33"/>
      <c r="G18" s="33"/>
      <c r="H18" s="33"/>
      <c r="I18" s="33"/>
      <c r="J18" s="33"/>
      <c r="K18" s="33"/>
      <c r="L18" s="33"/>
      <c r="M18" s="33"/>
      <c r="N18" s="33"/>
      <c r="O18" s="33"/>
      <c r="P18" s="33"/>
      <c r="Q18" s="33"/>
      <c r="R18" s="33"/>
      <c r="S18" s="381" t="s">
        <v>136</v>
      </c>
      <c r="T18" s="33"/>
      <c r="U18" s="33"/>
      <c r="V18" s="33"/>
      <c r="W18" s="33"/>
      <c r="X18" s="33"/>
      <c r="Y18" s="34"/>
      <c r="Z18" s="34"/>
      <c r="AA18" s="34"/>
      <c r="AB18" s="34"/>
      <c r="AC18" s="35"/>
    </row>
    <row r="19" spans="1:29" ht="21.75" customHeight="1" thickBot="1" x14ac:dyDescent="0.4">
      <c r="A19" s="30"/>
      <c r="B19" s="119"/>
      <c r="C19" s="36"/>
      <c r="D19" s="439" t="s">
        <v>137</v>
      </c>
      <c r="E19" s="461"/>
      <c r="F19" s="461"/>
      <c r="G19" s="461"/>
      <c r="H19" s="461"/>
      <c r="I19" s="461"/>
      <c r="J19" s="461"/>
      <c r="K19" s="461"/>
      <c r="L19" s="440"/>
      <c r="M19" s="468" t="str">
        <f>IF(COUNTBLANK(B19:B23)&lt;4,"You can't choose more than one answer",IF(COUNTBLANK(B19:B23)=5,"You have to choose an answer",""))</f>
        <v>You have to choose an answer</v>
      </c>
      <c r="N19" s="468"/>
      <c r="O19" s="468"/>
      <c r="P19" s="33"/>
      <c r="Q19" s="33"/>
      <c r="R19" s="33"/>
      <c r="S19" s="458" t="str">
        <f>IF(B19="X","",'Taux anglais'!C9)</f>
        <v/>
      </c>
      <c r="T19" s="459"/>
      <c r="U19" s="459"/>
      <c r="V19" s="460"/>
      <c r="W19" s="457" t="str">
        <f>IF(OR(AND(B13="X",COUNTIF(Q7:Q13,"X")&gt;0,COUNTIF(B21:B23,"X")&gt;0),B19="X",COUNTIF(B19:B23,"X")=0,AND(COUNTIF(B7:B11,"X")&gt;0,COUNTIF(Q7:Q13,"X")&gt;0,COUNTIF(B21:B23,"X")&gt;0)),"","You have to choose a coverage in the health insurance section")</f>
        <v/>
      </c>
      <c r="X19" s="457"/>
      <c r="Y19" s="457"/>
      <c r="Z19" s="457"/>
      <c r="AA19" s="457"/>
      <c r="AB19" s="457"/>
      <c r="AC19" s="35"/>
    </row>
    <row r="20" spans="1:29" ht="4.5" customHeight="1" thickBot="1" x14ac:dyDescent="0.4">
      <c r="A20" s="30"/>
      <c r="B20" s="206"/>
      <c r="C20" s="36"/>
      <c r="D20" s="37"/>
      <c r="E20" s="37"/>
      <c r="F20" s="37"/>
      <c r="G20" s="37"/>
      <c r="H20" s="37"/>
      <c r="I20" s="37"/>
      <c r="J20" s="37"/>
      <c r="K20" s="37"/>
      <c r="L20" s="37"/>
      <c r="M20" s="468"/>
      <c r="N20" s="468"/>
      <c r="O20" s="468"/>
      <c r="P20" s="33"/>
      <c r="Q20" s="33"/>
      <c r="R20" s="38"/>
      <c r="S20" s="38"/>
      <c r="T20" s="39"/>
      <c r="U20" s="39"/>
      <c r="V20" s="33"/>
      <c r="W20" s="457"/>
      <c r="X20" s="457"/>
      <c r="Y20" s="457"/>
      <c r="Z20" s="457"/>
      <c r="AA20" s="457"/>
      <c r="AB20" s="457"/>
      <c r="AC20" s="35"/>
    </row>
    <row r="21" spans="1:29" ht="21.75" customHeight="1" thickBot="1" x14ac:dyDescent="0.4">
      <c r="A21" s="30"/>
      <c r="B21" s="119"/>
      <c r="C21" s="36"/>
      <c r="D21" s="439" t="s">
        <v>138</v>
      </c>
      <c r="E21" s="461"/>
      <c r="F21" s="461"/>
      <c r="G21" s="461"/>
      <c r="H21" s="461"/>
      <c r="I21" s="461"/>
      <c r="J21" s="461"/>
      <c r="K21" s="461"/>
      <c r="L21" s="440"/>
      <c r="M21" s="468"/>
      <c r="N21" s="468"/>
      <c r="O21" s="468"/>
      <c r="P21" s="33"/>
      <c r="Q21" s="33"/>
      <c r="R21" s="33"/>
      <c r="S21" s="33"/>
      <c r="T21" s="39"/>
      <c r="U21" s="39"/>
      <c r="V21" s="33"/>
      <c r="W21" s="457"/>
      <c r="X21" s="457"/>
      <c r="Y21" s="457"/>
      <c r="Z21" s="457"/>
      <c r="AA21" s="457"/>
      <c r="AB21" s="457"/>
      <c r="AC21" s="35"/>
    </row>
    <row r="22" spans="1:29" ht="4.5" customHeight="1" thickBot="1" x14ac:dyDescent="0.4">
      <c r="A22" s="30"/>
      <c r="B22" s="206"/>
      <c r="C22" s="36"/>
      <c r="D22" s="37"/>
      <c r="E22" s="37"/>
      <c r="F22" s="37"/>
      <c r="G22" s="37"/>
      <c r="H22" s="37"/>
      <c r="I22" s="37"/>
      <c r="J22" s="37"/>
      <c r="K22" s="37"/>
      <c r="L22" s="37"/>
      <c r="M22" s="468"/>
      <c r="N22" s="468"/>
      <c r="O22" s="468"/>
      <c r="P22" s="33"/>
      <c r="Q22" s="33"/>
      <c r="R22" s="33"/>
      <c r="S22" s="33"/>
      <c r="T22" s="39"/>
      <c r="U22" s="39"/>
      <c r="V22" s="33"/>
      <c r="W22" s="33"/>
      <c r="X22" s="33"/>
      <c r="Y22" s="34"/>
      <c r="Z22" s="34"/>
      <c r="AA22" s="34"/>
      <c r="AB22" s="34"/>
      <c r="AC22" s="35"/>
    </row>
    <row r="23" spans="1:29" ht="21.75" customHeight="1" thickBot="1" x14ac:dyDescent="0.4">
      <c r="A23" s="30"/>
      <c r="B23" s="119"/>
      <c r="C23" s="36"/>
      <c r="D23" s="439" t="s">
        <v>139</v>
      </c>
      <c r="E23" s="461"/>
      <c r="F23" s="461"/>
      <c r="G23" s="461"/>
      <c r="H23" s="461"/>
      <c r="I23" s="461"/>
      <c r="J23" s="461"/>
      <c r="K23" s="461"/>
      <c r="L23" s="440"/>
      <c r="M23" s="468"/>
      <c r="N23" s="468"/>
      <c r="O23" s="468"/>
      <c r="P23" s="33"/>
      <c r="Q23" s="33"/>
      <c r="R23" s="33"/>
      <c r="S23" s="33"/>
      <c r="T23" s="39"/>
      <c r="U23" s="39"/>
      <c r="V23" s="33"/>
      <c r="W23" s="33"/>
      <c r="X23" s="33"/>
      <c r="Y23" s="34"/>
      <c r="Z23" s="34"/>
      <c r="AA23" s="40" t="s">
        <v>324</v>
      </c>
      <c r="AB23" s="226">
        <f>IF(AND(M19="",V7="",W19=""),'Taux anglais'!O11,0)</f>
        <v>0</v>
      </c>
      <c r="AC23" s="35"/>
    </row>
    <row r="24" spans="1:29" ht="4.5" customHeight="1" thickBot="1" x14ac:dyDescent="0.4">
      <c r="A24" s="30"/>
      <c r="B24" s="36"/>
      <c r="C24" s="36"/>
      <c r="D24" s="37"/>
      <c r="E24" s="37"/>
      <c r="F24" s="37"/>
      <c r="G24" s="37"/>
      <c r="H24" s="37"/>
      <c r="I24" s="37"/>
      <c r="J24" s="37"/>
      <c r="K24" s="37"/>
      <c r="L24" s="37"/>
      <c r="M24" s="33"/>
      <c r="N24" s="33"/>
      <c r="O24" s="33"/>
      <c r="P24" s="33"/>
      <c r="Q24" s="33"/>
      <c r="R24" s="33"/>
      <c r="S24" s="33"/>
      <c r="T24" s="39"/>
      <c r="U24" s="39"/>
      <c r="V24" s="33"/>
      <c r="W24" s="33"/>
      <c r="X24" s="33"/>
      <c r="Y24" s="34"/>
      <c r="Z24" s="34"/>
      <c r="AA24" s="40"/>
      <c r="AB24" s="203"/>
      <c r="AC24" s="35"/>
    </row>
    <row r="25" spans="1:29" ht="22.5" customHeight="1" thickBot="1" x14ac:dyDescent="0.3">
      <c r="A25" s="30"/>
      <c r="B25" s="33"/>
      <c r="C25" s="33"/>
      <c r="D25" s="475" t="str">
        <f>IF(COUNTIF(B7:B11,"X")&gt;0,"",IF(AND(B13="",COUNTIF(B21:B23,"X")&gt;0),"In order to receive only dental coverage, you must be covered by your spouse under health insurance",""))</f>
        <v/>
      </c>
      <c r="E25" s="475"/>
      <c r="F25" s="475"/>
      <c r="G25" s="475"/>
      <c r="H25" s="475"/>
      <c r="I25" s="475"/>
      <c r="J25" s="475"/>
      <c r="K25" s="475"/>
      <c r="L25" s="475"/>
      <c r="M25" s="475"/>
      <c r="N25" s="383"/>
      <c r="O25" s="383"/>
      <c r="P25" s="383"/>
      <c r="Q25" s="383"/>
      <c r="R25" s="33"/>
      <c r="S25" s="33"/>
      <c r="T25" s="33"/>
      <c r="U25" s="33"/>
      <c r="V25" s="33"/>
      <c r="W25" s="33"/>
      <c r="X25" s="33"/>
      <c r="Y25" s="34"/>
      <c r="Z25" s="34"/>
      <c r="AA25" s="40" t="s">
        <v>325</v>
      </c>
      <c r="AB25" s="41">
        <f>26*AB23</f>
        <v>0</v>
      </c>
      <c r="AC25" s="35"/>
    </row>
    <row r="26" spans="1:29" ht="15.75" customHeight="1" x14ac:dyDescent="0.25">
      <c r="A26" s="30"/>
      <c r="B26" s="33"/>
      <c r="C26" s="33"/>
      <c r="D26" s="475"/>
      <c r="E26" s="475"/>
      <c r="F26" s="475"/>
      <c r="G26" s="475"/>
      <c r="H26" s="475"/>
      <c r="I26" s="475"/>
      <c r="J26" s="475"/>
      <c r="K26" s="475"/>
      <c r="L26" s="475"/>
      <c r="M26" s="475"/>
      <c r="N26" s="383"/>
      <c r="O26" s="383"/>
      <c r="P26" s="383"/>
      <c r="Q26" s="383"/>
      <c r="R26" s="33"/>
      <c r="S26" s="33"/>
      <c r="T26" s="33"/>
      <c r="U26" s="33"/>
      <c r="V26" s="33"/>
      <c r="W26" s="33"/>
      <c r="X26" s="33"/>
      <c r="Y26" s="34"/>
      <c r="Z26" s="34"/>
      <c r="AA26" s="40"/>
      <c r="AB26" s="341" t="str">
        <f xml:space="preserve"> IF(AB23&gt;0,"This cost doesn't include the 9 % sales tax","")</f>
        <v/>
      </c>
      <c r="AC26" s="35"/>
    </row>
    <row r="27" spans="1:29" ht="4.5" customHeight="1" x14ac:dyDescent="0.25">
      <c r="A27" s="44"/>
      <c r="B27" s="45"/>
      <c r="C27" s="45"/>
      <c r="D27" s="45"/>
      <c r="E27" s="45"/>
      <c r="F27" s="45"/>
      <c r="G27" s="45"/>
      <c r="H27" s="45"/>
      <c r="I27" s="45"/>
      <c r="J27" s="45"/>
      <c r="K27" s="45"/>
      <c r="L27" s="45"/>
      <c r="M27" s="45"/>
      <c r="N27" s="45"/>
      <c r="O27" s="45"/>
      <c r="P27" s="45"/>
      <c r="Q27" s="45"/>
      <c r="R27" s="45"/>
      <c r="S27" s="45"/>
      <c r="T27" s="45"/>
      <c r="U27" s="45"/>
      <c r="V27" s="45"/>
      <c r="W27" s="45"/>
      <c r="X27" s="45"/>
      <c r="Y27" s="46"/>
      <c r="Z27" s="46" t="s">
        <v>168</v>
      </c>
      <c r="AA27" s="46"/>
      <c r="AB27" s="46"/>
      <c r="AC27" s="47"/>
    </row>
    <row r="28" spans="1:29" ht="15.75" thickBot="1" x14ac:dyDescent="0.3">
      <c r="A28" s="13"/>
      <c r="B28" s="14"/>
      <c r="C28" s="14"/>
      <c r="D28" s="14"/>
      <c r="E28" s="14"/>
      <c r="F28" s="14"/>
      <c r="G28" s="14"/>
      <c r="H28" s="14"/>
      <c r="I28" s="14"/>
      <c r="J28" s="14"/>
      <c r="K28" s="14"/>
      <c r="L28" s="14"/>
      <c r="M28" s="14"/>
      <c r="N28" s="14"/>
      <c r="O28" s="14"/>
      <c r="P28" s="14"/>
      <c r="Q28" s="14"/>
      <c r="R28" s="14"/>
      <c r="S28" s="14"/>
      <c r="T28" s="14"/>
      <c r="U28" s="14"/>
      <c r="V28" s="14"/>
      <c r="W28" s="14"/>
      <c r="X28" s="14"/>
      <c r="Y28" s="48"/>
      <c r="Z28" s="48"/>
      <c r="AA28" s="48"/>
      <c r="AB28" s="48"/>
      <c r="AC28" s="15"/>
    </row>
    <row r="29" spans="1:29" ht="21.75" customHeight="1" thickBot="1" x14ac:dyDescent="0.4">
      <c r="A29" s="16"/>
      <c r="B29" s="49" t="s">
        <v>140</v>
      </c>
      <c r="C29" s="49"/>
      <c r="D29" s="17"/>
      <c r="E29" s="17"/>
      <c r="F29" s="50"/>
      <c r="G29" s="50"/>
      <c r="H29" s="50"/>
      <c r="I29" s="50"/>
      <c r="J29" s="50"/>
      <c r="K29" s="17"/>
      <c r="L29" s="17"/>
      <c r="M29" s="17"/>
      <c r="N29" s="17"/>
      <c r="O29" s="22"/>
      <c r="P29" s="69"/>
      <c r="Q29" s="69"/>
      <c r="R29" s="69"/>
      <c r="S29" s="69"/>
      <c r="T29" s="312"/>
      <c r="U29" s="23" t="s">
        <v>336</v>
      </c>
      <c r="V29" s="214">
        <f>IF(COUNTBLANK(B34:B42)=8,'Taux anglais'!G27,0)</f>
        <v>0</v>
      </c>
      <c r="W29" s="22" t="s">
        <v>97</v>
      </c>
      <c r="X29" s="17"/>
      <c r="Y29" s="22"/>
      <c r="Z29" s="22"/>
      <c r="AA29" s="22"/>
      <c r="AB29" s="22"/>
      <c r="AC29" s="19"/>
    </row>
    <row r="30" spans="1:29" ht="77.25" customHeight="1" x14ac:dyDescent="0.25">
      <c r="A30" s="16"/>
      <c r="B30" s="472" t="s">
        <v>355</v>
      </c>
      <c r="C30" s="472"/>
      <c r="D30" s="472"/>
      <c r="E30" s="472"/>
      <c r="F30" s="472"/>
      <c r="G30" s="472"/>
      <c r="H30" s="472"/>
      <c r="I30" s="472"/>
      <c r="J30" s="472"/>
      <c r="K30" s="472"/>
      <c r="L30" s="472"/>
      <c r="M30" s="472"/>
      <c r="N30" s="472"/>
      <c r="O30" s="224"/>
      <c r="P30" s="223"/>
      <c r="Q30" s="198"/>
      <c r="R30" s="198"/>
      <c r="S30" s="86"/>
      <c r="T30" s="313"/>
      <c r="U30" s="22" t="s">
        <v>97</v>
      </c>
      <c r="V30" s="17"/>
      <c r="W30" s="22" t="s">
        <v>97</v>
      </c>
      <c r="X30" s="17"/>
      <c r="Y30" s="22"/>
      <c r="Z30" s="22"/>
      <c r="AA30" s="22"/>
      <c r="AB30" s="22"/>
      <c r="AC30" s="19"/>
    </row>
    <row r="31" spans="1:29" x14ac:dyDescent="0.25">
      <c r="A31" s="16"/>
      <c r="B31" s="51" t="s">
        <v>141</v>
      </c>
      <c r="C31" s="51"/>
      <c r="D31" s="17"/>
      <c r="E31" s="17"/>
      <c r="F31" s="17"/>
      <c r="G31" s="17"/>
      <c r="H31" s="17"/>
      <c r="I31" s="17"/>
      <c r="J31" s="17"/>
      <c r="K31" s="17"/>
      <c r="L31" s="17"/>
      <c r="M31" s="17"/>
      <c r="N31" s="17"/>
      <c r="O31" s="17"/>
      <c r="P31" s="22"/>
      <c r="Q31" s="22"/>
      <c r="R31" s="22"/>
      <c r="S31" s="22"/>
      <c r="T31" s="314"/>
      <c r="U31" s="53"/>
      <c r="V31" s="22"/>
      <c r="W31" s="22" t="s">
        <v>97</v>
      </c>
      <c r="X31" s="17"/>
      <c r="Y31" s="22"/>
      <c r="Z31" s="22"/>
      <c r="AA31" s="22"/>
      <c r="AB31" s="22"/>
      <c r="AC31" s="19"/>
    </row>
    <row r="32" spans="1:29" ht="1.1499999999999999" customHeight="1" x14ac:dyDescent="0.25">
      <c r="A32" s="16"/>
      <c r="B32" s="22" t="s">
        <v>97</v>
      </c>
      <c r="C32" s="22" t="s">
        <v>97</v>
      </c>
      <c r="D32" s="22" t="s">
        <v>97</v>
      </c>
      <c r="E32" s="22" t="s">
        <v>97</v>
      </c>
      <c r="F32" s="22" t="s">
        <v>97</v>
      </c>
      <c r="G32" s="22" t="s">
        <v>97</v>
      </c>
      <c r="H32" s="22" t="s">
        <v>97</v>
      </c>
      <c r="I32" s="22" t="s">
        <v>97</v>
      </c>
      <c r="J32" s="22" t="s">
        <v>97</v>
      </c>
      <c r="K32" s="22" t="s">
        <v>97</v>
      </c>
      <c r="L32" s="22" t="s">
        <v>97</v>
      </c>
      <c r="M32" s="22" t="s">
        <v>97</v>
      </c>
      <c r="N32" s="22" t="s">
        <v>97</v>
      </c>
      <c r="O32" s="22" t="s">
        <v>97</v>
      </c>
      <c r="P32" s="22"/>
      <c r="Q32" s="22"/>
      <c r="R32" s="22"/>
      <c r="S32" s="22"/>
      <c r="T32" s="315"/>
      <c r="U32" s="22" t="s">
        <v>97</v>
      </c>
      <c r="V32" s="22" t="s">
        <v>97</v>
      </c>
      <c r="W32" s="22" t="s">
        <v>97</v>
      </c>
      <c r="X32" s="22" t="s">
        <v>97</v>
      </c>
      <c r="Y32" s="22"/>
      <c r="Z32" s="22"/>
      <c r="AA32" s="22"/>
      <c r="AB32" s="22"/>
      <c r="AC32" s="19"/>
    </row>
    <row r="33" spans="1:29" ht="4.5" customHeight="1" thickBot="1" x14ac:dyDescent="0.3">
      <c r="A33" s="16"/>
      <c r="B33" s="207"/>
      <c r="C33" s="17"/>
      <c r="D33" s="51"/>
      <c r="E33" s="51"/>
      <c r="F33" s="17"/>
      <c r="G33" s="17"/>
      <c r="H33" s="17"/>
      <c r="I33" s="17"/>
      <c r="J33" s="17"/>
      <c r="K33" s="17"/>
      <c r="L33" s="17"/>
      <c r="M33" s="17"/>
      <c r="N33" s="22"/>
      <c r="O33" s="17"/>
      <c r="P33" s="22"/>
      <c r="Q33" s="22"/>
      <c r="R33" s="22"/>
      <c r="S33" s="22"/>
      <c r="T33" s="315"/>
      <c r="U33" s="22"/>
      <c r="V33" s="22"/>
      <c r="W33" s="22" t="s">
        <v>97</v>
      </c>
      <c r="X33" s="22"/>
      <c r="Y33" s="22"/>
      <c r="Z33" s="22"/>
      <c r="AA33" s="22"/>
      <c r="AB33" s="22"/>
      <c r="AC33" s="19"/>
    </row>
    <row r="34" spans="1:29" ht="21.75" customHeight="1" thickBot="1" x14ac:dyDescent="0.3">
      <c r="A34" s="16"/>
      <c r="B34" s="119"/>
      <c r="C34" s="17"/>
      <c r="D34" s="434" t="str">
        <f>'Taux anglais'!B32</f>
        <v>From Laval University union</v>
      </c>
      <c r="E34" s="435"/>
      <c r="F34" s="435"/>
      <c r="G34" s="435"/>
      <c r="H34" s="435"/>
      <c r="I34" s="435"/>
      <c r="J34" s="435"/>
      <c r="K34" s="435"/>
      <c r="L34" s="435"/>
      <c r="M34" s="435"/>
      <c r="N34" s="436"/>
      <c r="O34" s="22" t="s">
        <v>97</v>
      </c>
      <c r="P34" s="68"/>
      <c r="Q34" s="68"/>
      <c r="R34" s="22"/>
      <c r="S34" s="22"/>
      <c r="T34" s="312"/>
      <c r="U34" s="23" t="s">
        <v>268</v>
      </c>
      <c r="V34" s="215"/>
      <c r="W34" s="22" t="s">
        <v>97</v>
      </c>
      <c r="X34" s="22"/>
      <c r="Y34" s="22"/>
      <c r="Z34" s="22"/>
      <c r="AA34" s="22"/>
      <c r="AB34" s="22"/>
      <c r="AC34" s="19"/>
    </row>
    <row r="35" spans="1:29" ht="4.5" customHeight="1" thickBot="1" x14ac:dyDescent="0.3">
      <c r="A35" s="16"/>
      <c r="B35" s="207"/>
      <c r="C35" s="17"/>
      <c r="D35" s="51"/>
      <c r="E35" s="51"/>
      <c r="F35" s="17"/>
      <c r="G35" s="17"/>
      <c r="H35" s="17"/>
      <c r="I35" s="17"/>
      <c r="J35" s="17"/>
      <c r="K35" s="17"/>
      <c r="L35" s="17"/>
      <c r="M35" s="17"/>
      <c r="N35" s="22"/>
      <c r="O35" s="68"/>
      <c r="P35" s="68"/>
      <c r="Q35" s="68"/>
      <c r="R35" s="22"/>
      <c r="S35" s="22"/>
      <c r="T35" s="22"/>
      <c r="U35" s="22"/>
      <c r="V35" s="22"/>
      <c r="W35" s="22"/>
      <c r="X35" s="22"/>
      <c r="Y35" s="22"/>
      <c r="Z35" s="17"/>
      <c r="AA35" s="17"/>
      <c r="AB35" s="22"/>
      <c r="AC35" s="19"/>
    </row>
    <row r="36" spans="1:29" ht="21.75" customHeight="1" thickBot="1" x14ac:dyDescent="0.3">
      <c r="A36" s="16"/>
      <c r="B36" s="119"/>
      <c r="C36" s="17"/>
      <c r="D36" s="434" t="str">
        <f>'Taux anglais'!B33</f>
        <v>From LaSalle College union</v>
      </c>
      <c r="E36" s="435"/>
      <c r="F36" s="435"/>
      <c r="G36" s="435"/>
      <c r="H36" s="435"/>
      <c r="I36" s="435"/>
      <c r="J36" s="435"/>
      <c r="K36" s="435"/>
      <c r="L36" s="435"/>
      <c r="M36" s="435"/>
      <c r="N36" s="436"/>
      <c r="O36" s="429" t="str">
        <f>IF(COUNTBLANK(B34:B42)&lt;8,"You can't choose more than one answer",IF(COUNTBLANK(B34:B42)=9,"You have to choose an answer",""))</f>
        <v>You have to choose an answer</v>
      </c>
      <c r="P36" s="429"/>
      <c r="Q36" s="429"/>
      <c r="R36" s="68"/>
      <c r="S36" s="68"/>
      <c r="T36" s="22" t="s">
        <v>97</v>
      </c>
      <c r="U36" s="22" t="s">
        <v>97</v>
      </c>
      <c r="V36" s="22" t="s">
        <v>97</v>
      </c>
      <c r="W36" s="22" t="s">
        <v>97</v>
      </c>
      <c r="X36" s="22" t="s">
        <v>97</v>
      </c>
      <c r="Y36" s="22"/>
      <c r="Z36" s="18"/>
      <c r="AA36" s="23" t="s">
        <v>324</v>
      </c>
      <c r="AB36" s="225">
        <f>IF(O36="",ROUND(V34/1000*V29,2),0)</f>
        <v>0</v>
      </c>
      <c r="AC36" s="19"/>
    </row>
    <row r="37" spans="1:29" ht="4.5" customHeight="1" thickBot="1" x14ac:dyDescent="0.3">
      <c r="A37" s="16"/>
      <c r="B37" s="207"/>
      <c r="C37" s="17"/>
      <c r="D37" s="51"/>
      <c r="E37" s="51"/>
      <c r="F37" s="17"/>
      <c r="G37" s="17"/>
      <c r="H37" s="17"/>
      <c r="I37" s="17"/>
      <c r="J37" s="17"/>
      <c r="K37" s="17"/>
      <c r="L37" s="17"/>
      <c r="M37" s="17"/>
      <c r="N37" s="22"/>
      <c r="O37" s="429"/>
      <c r="P37" s="429"/>
      <c r="Q37" s="429"/>
      <c r="R37" s="68"/>
      <c r="S37" s="68"/>
      <c r="T37" s="22" t="s">
        <v>97</v>
      </c>
      <c r="U37" s="22" t="s">
        <v>97</v>
      </c>
      <c r="V37" s="22" t="s">
        <v>97</v>
      </c>
      <c r="W37" s="22" t="s">
        <v>97</v>
      </c>
      <c r="X37" s="22" t="s">
        <v>97</v>
      </c>
      <c r="Y37" s="22"/>
      <c r="Z37" s="17"/>
      <c r="AA37" s="17"/>
      <c r="AB37" s="22"/>
      <c r="AC37" s="19"/>
    </row>
    <row r="38" spans="1:29" ht="21.75" customHeight="1" thickBot="1" x14ac:dyDescent="0.3">
      <c r="A38" s="16"/>
      <c r="B38" s="119"/>
      <c r="C38" s="17"/>
      <c r="D38" s="434" t="str">
        <f>'Taux anglais'!B34</f>
        <v>From Trinité College union</v>
      </c>
      <c r="E38" s="435"/>
      <c r="F38" s="435"/>
      <c r="G38" s="435"/>
      <c r="H38" s="435"/>
      <c r="I38" s="435"/>
      <c r="J38" s="435"/>
      <c r="K38" s="435"/>
      <c r="L38" s="435"/>
      <c r="M38" s="435"/>
      <c r="N38" s="436"/>
      <c r="O38" s="429"/>
      <c r="P38" s="429"/>
      <c r="Q38" s="429"/>
      <c r="R38" s="68"/>
      <c r="S38" s="68"/>
      <c r="T38" s="22" t="s">
        <v>97</v>
      </c>
      <c r="U38" s="22" t="s">
        <v>97</v>
      </c>
      <c r="V38" s="22" t="s">
        <v>97</v>
      </c>
      <c r="W38" s="22" t="s">
        <v>97</v>
      </c>
      <c r="X38" s="22" t="s">
        <v>97</v>
      </c>
      <c r="Y38" s="22"/>
      <c r="Z38" s="22"/>
      <c r="AA38" s="23" t="s">
        <v>325</v>
      </c>
      <c r="AB38" s="225">
        <f>26*AB36</f>
        <v>0</v>
      </c>
      <c r="AC38" s="19"/>
    </row>
    <row r="39" spans="1:29" ht="4.5" customHeight="1" thickBot="1" x14ac:dyDescent="0.3">
      <c r="A39" s="16"/>
      <c r="B39" s="207"/>
      <c r="C39" s="17"/>
      <c r="D39" s="51"/>
      <c r="E39" s="55"/>
      <c r="F39" s="55"/>
      <c r="G39" s="55"/>
      <c r="H39" s="55"/>
      <c r="I39" s="55"/>
      <c r="J39" s="55"/>
      <c r="K39" s="55"/>
      <c r="L39" s="55"/>
      <c r="M39" s="55"/>
      <c r="N39" s="55"/>
      <c r="O39" s="429"/>
      <c r="P39" s="429"/>
      <c r="Q39" s="429"/>
      <c r="R39" s="68"/>
      <c r="S39" s="68"/>
      <c r="T39" s="22" t="s">
        <v>97</v>
      </c>
      <c r="U39" s="22" t="s">
        <v>97</v>
      </c>
      <c r="V39" s="22" t="s">
        <v>97</v>
      </c>
      <c r="W39" s="22" t="s">
        <v>97</v>
      </c>
      <c r="X39" s="22" t="s">
        <v>97</v>
      </c>
      <c r="Y39" s="22" t="s">
        <v>97</v>
      </c>
      <c r="Z39" s="22"/>
      <c r="AA39" s="23"/>
      <c r="AB39" s="22"/>
      <c r="AC39" s="19"/>
    </row>
    <row r="40" spans="1:29" ht="21.75" customHeight="1" thickBot="1" x14ac:dyDescent="0.3">
      <c r="A40" s="16"/>
      <c r="B40" s="119"/>
      <c r="C40" s="17"/>
      <c r="D40" s="434" t="str">
        <f>'Taux anglais'!B35</f>
        <v>From ITHQ or ITAQ</v>
      </c>
      <c r="E40" s="435"/>
      <c r="F40" s="435"/>
      <c r="G40" s="435"/>
      <c r="H40" s="435"/>
      <c r="I40" s="435"/>
      <c r="J40" s="435"/>
      <c r="K40" s="435"/>
      <c r="L40" s="435"/>
      <c r="M40" s="435"/>
      <c r="N40" s="436"/>
      <c r="O40" s="429"/>
      <c r="P40" s="429"/>
      <c r="Q40" s="429"/>
      <c r="R40" s="68"/>
      <c r="S40" s="68"/>
      <c r="T40" s="22" t="s">
        <v>97</v>
      </c>
      <c r="U40" s="22" t="s">
        <v>97</v>
      </c>
      <c r="V40" s="22" t="s">
        <v>97</v>
      </c>
      <c r="W40" s="22" t="s">
        <v>97</v>
      </c>
      <c r="X40" s="22" t="s">
        <v>97</v>
      </c>
      <c r="Y40" s="22" t="s">
        <v>97</v>
      </c>
      <c r="Z40" s="22"/>
      <c r="AA40" s="22"/>
      <c r="AB40" s="340" t="str">
        <f xml:space="preserve"> IF(AB36&gt;0,"This cost doesn't include the 9 % sales tax","")</f>
        <v/>
      </c>
      <c r="AC40" s="19"/>
    </row>
    <row r="41" spans="1:29" ht="6" customHeight="1" thickBot="1" x14ac:dyDescent="0.3">
      <c r="A41" s="16"/>
      <c r="B41" s="357"/>
      <c r="C41" s="17"/>
      <c r="D41" s="357"/>
      <c r="E41" s="357"/>
      <c r="F41" s="357"/>
      <c r="G41" s="357"/>
      <c r="H41" s="357"/>
      <c r="I41" s="357"/>
      <c r="J41" s="357"/>
      <c r="K41" s="357"/>
      <c r="L41" s="357"/>
      <c r="M41" s="357"/>
      <c r="N41" s="357"/>
      <c r="O41" s="429"/>
      <c r="P41" s="429"/>
      <c r="Q41" s="429"/>
      <c r="R41" s="68"/>
      <c r="S41" s="68"/>
      <c r="T41" s="22"/>
      <c r="U41" s="22"/>
      <c r="V41" s="22"/>
      <c r="W41" s="22"/>
      <c r="X41" s="22"/>
      <c r="Y41" s="22"/>
      <c r="Z41" s="22"/>
      <c r="AA41" s="22"/>
      <c r="AB41" s="340"/>
      <c r="AC41" s="19"/>
    </row>
    <row r="42" spans="1:29" ht="21.75" customHeight="1" thickBot="1" x14ac:dyDescent="0.3">
      <c r="A42" s="16"/>
      <c r="B42" s="119"/>
      <c r="C42" s="17"/>
      <c r="D42" s="434" t="str">
        <f>'Taux anglais'!B36</f>
        <v>From any other college or university</v>
      </c>
      <c r="E42" s="435"/>
      <c r="F42" s="435"/>
      <c r="G42" s="435"/>
      <c r="H42" s="435"/>
      <c r="I42" s="435"/>
      <c r="J42" s="435"/>
      <c r="K42" s="435"/>
      <c r="L42" s="435"/>
      <c r="M42" s="435"/>
      <c r="N42" s="436"/>
      <c r="O42" s="429"/>
      <c r="P42" s="429"/>
      <c r="Q42" s="429"/>
      <c r="R42" s="68"/>
      <c r="S42" s="68"/>
      <c r="T42" s="22"/>
      <c r="U42" s="22"/>
      <c r="V42" s="22"/>
      <c r="W42" s="22"/>
      <c r="X42" s="22"/>
      <c r="Y42" s="22"/>
      <c r="Z42" s="22"/>
      <c r="AA42" s="22"/>
      <c r="AB42" s="340"/>
      <c r="AC42" s="19"/>
    </row>
    <row r="43" spans="1:29" ht="4.5" customHeight="1" x14ac:dyDescent="0.25">
      <c r="A43" s="16"/>
      <c r="B43" s="207"/>
      <c r="C43" s="17"/>
      <c r="D43" s="344"/>
      <c r="E43" s="345"/>
      <c r="F43" s="345"/>
      <c r="G43" s="345"/>
      <c r="H43" s="345"/>
      <c r="I43" s="345"/>
      <c r="J43" s="345"/>
      <c r="K43" s="345"/>
      <c r="L43" s="345"/>
      <c r="M43" s="345"/>
      <c r="N43" s="345"/>
      <c r="O43" s="429"/>
      <c r="P43" s="429"/>
      <c r="Q43" s="429"/>
      <c r="R43" s="68"/>
      <c r="S43" s="68"/>
      <c r="T43" s="22" t="s">
        <v>97</v>
      </c>
      <c r="U43" s="22" t="s">
        <v>97</v>
      </c>
      <c r="V43" s="22" t="s">
        <v>97</v>
      </c>
      <c r="W43" s="22" t="s">
        <v>97</v>
      </c>
      <c r="X43" s="22" t="s">
        <v>97</v>
      </c>
      <c r="Y43" s="22" t="s">
        <v>97</v>
      </c>
      <c r="Z43" s="22"/>
      <c r="AA43" s="23"/>
      <c r="AB43" s="22"/>
      <c r="AC43" s="19"/>
    </row>
    <row r="44" spans="1:29" ht="7.5" customHeight="1" x14ac:dyDescent="0.25">
      <c r="A44" s="54"/>
      <c r="B44" s="55"/>
      <c r="C44" s="55"/>
      <c r="D44" s="55"/>
      <c r="E44" s="55"/>
      <c r="F44" s="55"/>
      <c r="G44" s="55"/>
      <c r="H44" s="55"/>
      <c r="I44" s="55"/>
      <c r="J44" s="55"/>
      <c r="K44" s="55"/>
      <c r="L44" s="55"/>
      <c r="M44" s="55"/>
      <c r="N44" s="55"/>
      <c r="O44" s="55"/>
      <c r="P44" s="55"/>
      <c r="Q44" s="55"/>
      <c r="R44" s="55"/>
      <c r="S44" s="55"/>
      <c r="T44" s="55"/>
      <c r="U44" s="56"/>
      <c r="V44" s="56"/>
      <c r="W44" s="56"/>
      <c r="X44" s="56"/>
      <c r="Y44" s="56"/>
      <c r="Z44" s="56"/>
      <c r="AA44" s="56"/>
      <c r="AB44" s="56"/>
      <c r="AC44" s="57"/>
    </row>
    <row r="45" spans="1:29" ht="21.75" thickBot="1" x14ac:dyDescent="0.4">
      <c r="A45" s="25"/>
      <c r="B45" s="26" t="s">
        <v>144</v>
      </c>
      <c r="C45" s="26"/>
      <c r="D45" s="27"/>
      <c r="E45" s="27"/>
      <c r="F45" s="58"/>
      <c r="G45" s="58"/>
      <c r="H45" s="58"/>
      <c r="I45" s="58"/>
      <c r="J45" s="58"/>
      <c r="K45" s="27"/>
      <c r="L45" s="27"/>
      <c r="M45" s="27"/>
      <c r="N45" s="27"/>
      <c r="O45" s="27"/>
      <c r="P45" s="28"/>
      <c r="Q45" s="28"/>
      <c r="R45" s="28"/>
      <c r="S45" s="28"/>
      <c r="T45" s="28"/>
      <c r="U45" s="27"/>
      <c r="V45" s="27"/>
      <c r="W45" s="27"/>
      <c r="X45" s="27"/>
      <c r="Y45" s="27"/>
      <c r="Z45" s="28"/>
      <c r="AA45" s="28"/>
      <c r="AB45" s="28"/>
      <c r="AC45" s="29"/>
    </row>
    <row r="46" spans="1:29" ht="21.75" customHeight="1" thickBot="1" x14ac:dyDescent="0.4">
      <c r="A46" s="30"/>
      <c r="B46" s="33" t="s">
        <v>313</v>
      </c>
      <c r="C46" s="31"/>
      <c r="D46" s="33"/>
      <c r="E46" s="33"/>
      <c r="F46" s="59"/>
      <c r="G46" s="59"/>
      <c r="H46" s="59"/>
      <c r="I46" s="59"/>
      <c r="J46" s="59"/>
      <c r="K46" s="33"/>
      <c r="L46" s="33"/>
      <c r="M46" s="33"/>
      <c r="N46" s="40"/>
      <c r="O46" s="40"/>
      <c r="P46" s="40"/>
      <c r="Q46" s="40"/>
      <c r="R46" s="40"/>
      <c r="S46" s="40"/>
      <c r="T46" s="33"/>
      <c r="U46" s="40" t="s">
        <v>336</v>
      </c>
      <c r="V46" s="285">
        <f>'Taux anglais'!I33</f>
        <v>0</v>
      </c>
      <c r="W46" s="33"/>
      <c r="X46" s="33"/>
      <c r="Y46" s="33"/>
      <c r="Z46" s="34"/>
      <c r="AA46" s="34"/>
      <c r="AB46" s="34"/>
      <c r="AC46" s="35"/>
    </row>
    <row r="47" spans="1:29" ht="21.75" customHeight="1" thickBot="1" x14ac:dyDescent="0.3">
      <c r="A47" s="30"/>
      <c r="B47" s="119"/>
      <c r="C47" s="33"/>
      <c r="D47" s="469" t="s">
        <v>145</v>
      </c>
      <c r="E47" s="470"/>
      <c r="F47" s="444" t="str">
        <f>IF(COUNTBLANK(B47:B49)&lt;2,"You can't choose more than one answer",IF(COUNTBLANK(B47:B49)=3,"You have to choose an answer",""))</f>
        <v>You have to choose an answer</v>
      </c>
      <c r="G47" s="444"/>
      <c r="H47" s="444"/>
      <c r="I47" s="444"/>
      <c r="J47" s="444"/>
      <c r="K47" s="444"/>
      <c r="L47" s="33"/>
      <c r="M47" s="33"/>
      <c r="N47" s="33"/>
      <c r="O47" s="33"/>
      <c r="P47" s="110"/>
      <c r="Q47" s="110"/>
      <c r="R47" s="110"/>
      <c r="S47" s="110"/>
      <c r="T47" s="33"/>
      <c r="U47" s="33"/>
      <c r="V47" s="61"/>
      <c r="W47" s="33"/>
      <c r="X47" s="33"/>
      <c r="Y47" s="34"/>
      <c r="Z47" s="34"/>
      <c r="AA47" s="34"/>
      <c r="AB47" s="34"/>
      <c r="AC47" s="35"/>
    </row>
    <row r="48" spans="1:29" ht="4.5" customHeight="1" thickBot="1" x14ac:dyDescent="0.3">
      <c r="A48" s="30"/>
      <c r="B48" s="210"/>
      <c r="C48" s="33"/>
      <c r="D48" s="216"/>
      <c r="E48" s="216"/>
      <c r="F48" s="444"/>
      <c r="G48" s="444"/>
      <c r="H48" s="444"/>
      <c r="I48" s="444"/>
      <c r="J48" s="444"/>
      <c r="K48" s="444"/>
      <c r="L48" s="33"/>
      <c r="M48" s="33"/>
      <c r="N48" s="33"/>
      <c r="O48" s="33"/>
      <c r="P48" s="33"/>
      <c r="Q48" s="33"/>
      <c r="R48" s="33"/>
      <c r="S48" s="33"/>
      <c r="T48" s="33"/>
      <c r="U48" s="33"/>
      <c r="V48" s="61"/>
      <c r="W48" s="33"/>
      <c r="X48" s="33"/>
      <c r="Y48" s="34"/>
      <c r="Z48" s="34"/>
      <c r="AA48" s="34"/>
      <c r="AB48" s="34"/>
      <c r="AC48" s="35"/>
    </row>
    <row r="49" spans="1:29" ht="21.75" customHeight="1" thickBot="1" x14ac:dyDescent="0.3">
      <c r="A49" s="30"/>
      <c r="B49" s="119"/>
      <c r="C49" s="33"/>
      <c r="D49" s="469" t="s">
        <v>146</v>
      </c>
      <c r="E49" s="470"/>
      <c r="F49" s="444"/>
      <c r="G49" s="444"/>
      <c r="H49" s="444"/>
      <c r="I49" s="444"/>
      <c r="J49" s="444"/>
      <c r="K49" s="444"/>
      <c r="L49" s="33"/>
      <c r="M49" s="33"/>
      <c r="N49" s="33"/>
      <c r="O49" s="40"/>
      <c r="P49" s="40"/>
      <c r="Q49" s="40"/>
      <c r="R49" s="33"/>
      <c r="S49" s="33"/>
      <c r="T49" s="33"/>
      <c r="U49" s="40" t="s">
        <v>268</v>
      </c>
      <c r="V49" s="213">
        <f>V34</f>
        <v>0</v>
      </c>
      <c r="W49" s="33"/>
      <c r="X49" s="33"/>
      <c r="Y49" s="34"/>
      <c r="Z49" s="34"/>
      <c r="AA49" s="40" t="s">
        <v>324</v>
      </c>
      <c r="AB49" s="276">
        <f>IF(F47="",ROUND(V49/1000*V46,2),0)</f>
        <v>0</v>
      </c>
      <c r="AC49" s="35"/>
    </row>
    <row r="50" spans="1:29" ht="15.75" thickBot="1" x14ac:dyDescent="0.3">
      <c r="A50" s="30"/>
      <c r="B50" s="493" t="s">
        <v>357</v>
      </c>
      <c r="C50" s="493"/>
      <c r="D50" s="493"/>
      <c r="E50" s="493"/>
      <c r="F50" s="493"/>
      <c r="G50" s="493"/>
      <c r="H50" s="493"/>
      <c r="I50" s="493"/>
      <c r="J50" s="493"/>
      <c r="K50" s="493"/>
      <c r="L50" s="493"/>
      <c r="M50" s="493"/>
      <c r="N50" s="493"/>
      <c r="O50" s="493"/>
      <c r="P50" s="493"/>
      <c r="Q50" s="493"/>
      <c r="R50" s="33"/>
      <c r="S50" s="33"/>
      <c r="T50" s="33"/>
      <c r="U50" s="33"/>
      <c r="V50" s="61"/>
      <c r="W50" s="33"/>
      <c r="X50" s="33"/>
      <c r="Y50" s="34"/>
      <c r="Z50" s="34"/>
      <c r="AA50" s="40"/>
      <c r="AB50" s="34"/>
      <c r="AC50" s="35"/>
    </row>
    <row r="51" spans="1:29" ht="21.75" customHeight="1" thickBot="1" x14ac:dyDescent="0.3">
      <c r="A51" s="30"/>
      <c r="B51" s="493"/>
      <c r="C51" s="493"/>
      <c r="D51" s="493"/>
      <c r="E51" s="493"/>
      <c r="F51" s="493"/>
      <c r="G51" s="493"/>
      <c r="H51" s="493"/>
      <c r="I51" s="493"/>
      <c r="J51" s="493"/>
      <c r="K51" s="493"/>
      <c r="L51" s="493"/>
      <c r="M51" s="493"/>
      <c r="N51" s="493"/>
      <c r="O51" s="493"/>
      <c r="P51" s="493"/>
      <c r="Q51" s="493"/>
      <c r="R51" s="62"/>
      <c r="S51" s="62"/>
      <c r="T51" s="62"/>
      <c r="U51" s="33"/>
      <c r="V51" s="63"/>
      <c r="W51" s="63"/>
      <c r="X51" s="33"/>
      <c r="Y51" s="34"/>
      <c r="Z51" s="34"/>
      <c r="AA51" s="40" t="s">
        <v>325</v>
      </c>
      <c r="AB51" s="276">
        <f>26*AB49</f>
        <v>0</v>
      </c>
      <c r="AC51" s="35"/>
    </row>
    <row r="52" spans="1:29" ht="21.75" customHeight="1" x14ac:dyDescent="0.25">
      <c r="A52" s="44"/>
      <c r="B52" s="482" t="s">
        <v>147</v>
      </c>
      <c r="C52" s="482"/>
      <c r="D52" s="482"/>
      <c r="E52" s="482"/>
      <c r="F52" s="482"/>
      <c r="G52" s="482"/>
      <c r="H52" s="482"/>
      <c r="I52" s="482"/>
      <c r="J52" s="482"/>
      <c r="K52" s="482"/>
      <c r="L52" s="482"/>
      <c r="M52" s="482"/>
      <c r="N52" s="482"/>
      <c r="O52" s="482"/>
      <c r="P52" s="482"/>
      <c r="Q52" s="482"/>
      <c r="R52" s="45"/>
      <c r="S52" s="45"/>
      <c r="T52" s="45"/>
      <c r="U52" s="45"/>
      <c r="V52" s="45"/>
      <c r="W52" s="45"/>
      <c r="X52" s="45"/>
      <c r="Y52" s="46"/>
      <c r="Z52" s="46"/>
      <c r="AA52" s="40"/>
      <c r="AB52" s="341" t="str">
        <f xml:space="preserve"> IF(AB49&gt;0,"This cost takes into account a 9,2 % premium reduction but does not include the 9 % sales tax","")</f>
        <v/>
      </c>
      <c r="AC52" s="47"/>
    </row>
    <row r="53" spans="1:29" x14ac:dyDescent="0.25">
      <c r="A53" s="13"/>
      <c r="B53" s="65"/>
      <c r="C53" s="65"/>
      <c r="D53" s="65"/>
      <c r="E53" s="65"/>
      <c r="F53" s="65"/>
      <c r="G53" s="65"/>
      <c r="H53" s="65"/>
      <c r="I53" s="65"/>
      <c r="J53" s="65"/>
      <c r="K53" s="65"/>
      <c r="L53" s="65"/>
      <c r="M53" s="65"/>
      <c r="N53" s="65"/>
      <c r="O53" s="65"/>
      <c r="P53" s="65"/>
      <c r="Q53" s="65"/>
      <c r="R53" s="14"/>
      <c r="S53" s="14"/>
      <c r="T53" s="14"/>
      <c r="U53" s="14"/>
      <c r="V53" s="14"/>
      <c r="W53" s="14"/>
      <c r="X53" s="14"/>
      <c r="Y53" s="48"/>
      <c r="Z53" s="48"/>
      <c r="AA53" s="48"/>
      <c r="AB53" s="48"/>
      <c r="AC53" s="15"/>
    </row>
    <row r="54" spans="1:29" ht="21" x14ac:dyDescent="0.35">
      <c r="A54" s="16"/>
      <c r="B54" s="49" t="s">
        <v>148</v>
      </c>
      <c r="C54" s="49"/>
      <c r="D54" s="17"/>
      <c r="E54" s="17"/>
      <c r="F54" s="17"/>
      <c r="G54" s="17"/>
      <c r="H54" s="17"/>
      <c r="I54" s="17"/>
      <c r="J54" s="17"/>
      <c r="K54" s="17"/>
      <c r="L54" s="17"/>
      <c r="M54" s="17"/>
      <c r="N54" s="17"/>
      <c r="O54" s="17"/>
      <c r="P54" s="17"/>
      <c r="Q54" s="17"/>
      <c r="R54" s="17"/>
      <c r="S54" s="51" t="s">
        <v>149</v>
      </c>
      <c r="T54" s="22"/>
      <c r="U54" s="22"/>
      <c r="V54" s="22"/>
      <c r="W54" s="22"/>
      <c r="X54" s="22"/>
      <c r="Y54" s="22"/>
      <c r="Z54" s="22"/>
      <c r="AA54" s="22"/>
      <c r="AB54" s="22"/>
      <c r="AC54" s="19"/>
    </row>
    <row r="55" spans="1:29" ht="4.5" customHeight="1" thickBot="1" x14ac:dyDescent="0.4">
      <c r="A55" s="16"/>
      <c r="B55" s="17"/>
      <c r="C55" s="49"/>
      <c r="D55" s="17"/>
      <c r="E55" s="17"/>
      <c r="F55" s="17"/>
      <c r="G55" s="17"/>
      <c r="H55" s="17"/>
      <c r="I55" s="17"/>
      <c r="J55" s="17"/>
      <c r="K55" s="17"/>
      <c r="L55" s="17"/>
      <c r="M55" s="17"/>
      <c r="N55" s="17"/>
      <c r="O55" s="17"/>
      <c r="P55" s="17"/>
      <c r="Q55" s="17"/>
      <c r="R55" s="17"/>
      <c r="S55" s="22"/>
      <c r="T55" s="22"/>
      <c r="U55" s="22"/>
      <c r="V55" s="17"/>
      <c r="W55" s="17"/>
      <c r="X55" s="17"/>
      <c r="Y55" s="17"/>
      <c r="Z55" s="22"/>
      <c r="AA55" s="22"/>
      <c r="AB55" s="22"/>
      <c r="AC55" s="19"/>
    </row>
    <row r="56" spans="1:29" ht="21.75" customHeight="1" thickBot="1" x14ac:dyDescent="0.3">
      <c r="A56" s="16"/>
      <c r="B56" s="67" t="s">
        <v>150</v>
      </c>
      <c r="C56" s="67"/>
      <c r="D56" s="17"/>
      <c r="E56" s="17"/>
      <c r="F56" s="17"/>
      <c r="G56" s="17"/>
      <c r="H56" s="17"/>
      <c r="I56" s="17"/>
      <c r="J56" s="17"/>
      <c r="K56" s="17"/>
      <c r="L56" s="17"/>
      <c r="M56" s="17"/>
      <c r="N56" s="17"/>
      <c r="O56" s="17"/>
      <c r="P56" s="17"/>
      <c r="Q56" s="119"/>
      <c r="R56" s="17"/>
      <c r="S56" s="434" t="str">
        <f>IF('Taux anglais'!R19='Taux anglais'!R15,'Taux anglais'!N18,IF('Taux anglais'!R19='Taux anglais'!R16,'Taux anglais'!N17,'Taux anglais'!N16))</f>
        <v>One time the annual salary</v>
      </c>
      <c r="T56" s="435"/>
      <c r="U56" s="435"/>
      <c r="V56" s="436"/>
      <c r="W56" s="221" t="str">
        <f>IF(COUNTBLANK(Q56:Q58)&lt;2,"You can't choose more than one answer",IF(COUNTBLANK(Q56:Q58)=3,"You have to choose an answer",""))</f>
        <v>You have to choose an answer</v>
      </c>
      <c r="X56" s="221"/>
      <c r="Y56" s="68"/>
      <c r="Z56" s="22"/>
      <c r="AA56" s="22"/>
      <c r="AB56" s="22"/>
      <c r="AC56" s="19"/>
    </row>
    <row r="57" spans="1:29" ht="4.5" customHeight="1" thickBot="1" x14ac:dyDescent="0.3">
      <c r="A57" s="16"/>
      <c r="B57" s="67"/>
      <c r="C57" s="67"/>
      <c r="D57" s="17"/>
      <c r="E57" s="17"/>
      <c r="F57" s="17"/>
      <c r="G57" s="17"/>
      <c r="H57" s="17"/>
      <c r="I57" s="17"/>
      <c r="J57" s="17"/>
      <c r="K57" s="17"/>
      <c r="L57" s="17"/>
      <c r="M57" s="17"/>
      <c r="N57" s="17"/>
      <c r="O57" s="17"/>
      <c r="P57" s="17"/>
      <c r="Q57" s="17"/>
      <c r="R57" s="17"/>
      <c r="S57" s="17"/>
      <c r="T57" s="17"/>
      <c r="U57" s="17"/>
      <c r="V57" s="17"/>
      <c r="W57" s="221"/>
      <c r="X57" s="221"/>
      <c r="Y57" s="68"/>
      <c r="Z57" s="22"/>
      <c r="AA57" s="22"/>
      <c r="AB57" s="22"/>
      <c r="AC57" s="19"/>
    </row>
    <row r="58" spans="1:29" ht="21.75" customHeight="1" thickBot="1" x14ac:dyDescent="0.3">
      <c r="A58" s="16"/>
      <c r="B58" s="17" t="s">
        <v>314</v>
      </c>
      <c r="C58" s="67"/>
      <c r="D58" s="17"/>
      <c r="E58" s="17"/>
      <c r="F58" s="17"/>
      <c r="G58" s="17"/>
      <c r="H58" s="17"/>
      <c r="I58" s="17"/>
      <c r="J58" s="17"/>
      <c r="K58" s="17"/>
      <c r="L58" s="17"/>
      <c r="M58" s="17"/>
      <c r="N58" s="17"/>
      <c r="O58" s="17"/>
      <c r="P58" s="17"/>
      <c r="Q58" s="119"/>
      <c r="R58" s="17"/>
      <c r="S58" s="434" t="str">
        <f>IF('Taux anglais'!R19='Taux anglais'!R15,'Taux anglais'!N19,IF('Taux anglais'!R19='Taux anglais'!R16,'Taux anglais'!N18,'Taux anglais'!N16))</f>
        <v>Two times the annual salary</v>
      </c>
      <c r="T58" s="435"/>
      <c r="U58" s="435"/>
      <c r="V58" s="436"/>
      <c r="W58" s="221"/>
      <c r="X58" s="221"/>
      <c r="Y58" s="68"/>
      <c r="Z58" s="22"/>
      <c r="AA58" s="22"/>
      <c r="AB58" s="22"/>
      <c r="AC58" s="19"/>
    </row>
    <row r="59" spans="1:29" ht="3.75" customHeight="1" thickBot="1" x14ac:dyDescent="0.3">
      <c r="A59" s="16"/>
      <c r="B59" s="67"/>
      <c r="C59" s="67"/>
      <c r="D59" s="17"/>
      <c r="E59" s="17"/>
      <c r="F59" s="17"/>
      <c r="G59" s="17"/>
      <c r="H59" s="17"/>
      <c r="I59" s="17"/>
      <c r="J59" s="17"/>
      <c r="K59" s="17"/>
      <c r="L59" s="17"/>
      <c r="M59" s="17"/>
      <c r="N59" s="17"/>
      <c r="O59" s="17"/>
      <c r="P59" s="17"/>
      <c r="Q59" s="69"/>
      <c r="R59" s="70"/>
      <c r="S59" s="70"/>
      <c r="T59" s="17"/>
      <c r="U59" s="17"/>
      <c r="V59" s="22"/>
      <c r="W59" s="22"/>
      <c r="X59" s="17"/>
      <c r="Y59" s="22"/>
      <c r="Z59" s="22"/>
      <c r="AA59" s="22"/>
      <c r="AB59" s="18"/>
      <c r="AC59" s="19"/>
    </row>
    <row r="60" spans="1:29" ht="21.75" customHeight="1" thickBot="1" x14ac:dyDescent="0.3">
      <c r="A60" s="16"/>
      <c r="B60" s="119"/>
      <c r="C60" s="22"/>
      <c r="D60" s="478" t="s">
        <v>145</v>
      </c>
      <c r="E60" s="480"/>
      <c r="F60" s="430" t="str">
        <f>IF(COUNTBLANK(B60:B62)&lt;2,"You can't choose more than one answer",IF(COUNTBLANK(B60:B62)=3,"You have to choose an answer",""))</f>
        <v>You have to choose an answer</v>
      </c>
      <c r="G60" s="430"/>
      <c r="H60" s="430"/>
      <c r="I60" s="68"/>
      <c r="J60" s="68"/>
      <c r="K60" s="68"/>
      <c r="L60" s="17"/>
      <c r="M60" s="17"/>
      <c r="N60" s="17"/>
      <c r="O60" s="17"/>
      <c r="P60" s="17"/>
      <c r="Q60" s="69"/>
      <c r="R60" s="69"/>
      <c r="S60" s="22"/>
      <c r="T60" s="69"/>
      <c r="U60" s="23" t="s">
        <v>268</v>
      </c>
      <c r="V60" s="196">
        <f>MAX(V34,V49)</f>
        <v>0</v>
      </c>
      <c r="W60" s="17"/>
      <c r="X60" s="17"/>
      <c r="Y60" s="22"/>
      <c r="Z60" s="22"/>
      <c r="AA60" s="23"/>
      <c r="AB60" s="18"/>
      <c r="AC60" s="19"/>
    </row>
    <row r="61" spans="1:29" ht="4.5" customHeight="1" thickBot="1" x14ac:dyDescent="0.3">
      <c r="A61" s="16"/>
      <c r="B61" s="420"/>
      <c r="C61" s="22"/>
      <c r="D61" s="209"/>
      <c r="E61" s="124"/>
      <c r="F61" s="430"/>
      <c r="G61" s="430"/>
      <c r="H61" s="430"/>
      <c r="I61" s="68"/>
      <c r="J61" s="68"/>
      <c r="K61" s="68"/>
      <c r="L61" s="17"/>
      <c r="M61" s="17"/>
      <c r="N61" s="17"/>
      <c r="O61" s="17"/>
      <c r="P61" s="17"/>
      <c r="Q61" s="69"/>
      <c r="R61" s="69"/>
      <c r="S61" s="22"/>
      <c r="T61" s="69"/>
      <c r="U61" s="71"/>
      <c r="V61" s="72"/>
      <c r="W61" s="296"/>
      <c r="X61" s="17"/>
      <c r="Y61" s="22"/>
      <c r="Z61" s="22"/>
      <c r="AA61" s="23"/>
      <c r="AB61" s="18"/>
      <c r="AC61" s="19"/>
    </row>
    <row r="62" spans="1:29" ht="21.75" customHeight="1" thickBot="1" x14ac:dyDescent="0.3">
      <c r="A62" s="16"/>
      <c r="B62" s="119"/>
      <c r="C62" s="22"/>
      <c r="D62" s="478" t="s">
        <v>146</v>
      </c>
      <c r="E62" s="480"/>
      <c r="F62" s="430"/>
      <c r="G62" s="430"/>
      <c r="H62" s="430"/>
      <c r="I62" s="68"/>
      <c r="J62" s="68"/>
      <c r="K62" s="68"/>
      <c r="L62" s="17"/>
      <c r="M62" s="17"/>
      <c r="N62" s="17"/>
      <c r="O62" s="17"/>
      <c r="P62" s="17"/>
      <c r="Q62" s="69"/>
      <c r="R62" s="69"/>
      <c r="S62" s="22"/>
      <c r="T62" s="69"/>
      <c r="U62" s="71" t="s">
        <v>329</v>
      </c>
      <c r="V62" s="284">
        <f>'Taux anglais'!Q18</f>
        <v>0</v>
      </c>
      <c r="W62" s="221" t="str">
        <f>IF(AND(V60&lt;75000,'Taux anglais'!R19='Taux anglais'!R15),"Lowest Basic Life insurable amount is 75 000$","")</f>
        <v>Lowest Basic Life insurable amount is 75 000$</v>
      </c>
      <c r="X62" s="17"/>
      <c r="Y62" s="22"/>
      <c r="Z62" s="17"/>
      <c r="AA62" s="17"/>
      <c r="AB62" s="17"/>
      <c r="AC62" s="19"/>
    </row>
    <row r="63" spans="1:29" ht="3.75" customHeight="1" x14ac:dyDescent="0.25">
      <c r="A63" s="16"/>
      <c r="B63" s="312"/>
      <c r="C63" s="22"/>
      <c r="D63" s="21"/>
      <c r="E63" s="17"/>
      <c r="F63" s="17"/>
      <c r="G63" s="17"/>
      <c r="H63" s="17"/>
      <c r="I63" s="17"/>
      <c r="J63" s="17"/>
      <c r="K63" s="17"/>
      <c r="L63" s="17"/>
      <c r="M63" s="17"/>
      <c r="N63" s="17"/>
      <c r="O63" s="17"/>
      <c r="P63" s="17"/>
      <c r="Q63" s="69"/>
      <c r="R63" s="69"/>
      <c r="S63" s="22"/>
      <c r="T63" s="73"/>
      <c r="U63" s="17"/>
      <c r="V63" s="71"/>
      <c r="W63" s="296"/>
      <c r="X63" s="17"/>
      <c r="Y63" s="22"/>
      <c r="Z63" s="17"/>
      <c r="AA63" s="17"/>
      <c r="AB63" s="17"/>
      <c r="AC63" s="19"/>
    </row>
    <row r="64" spans="1:29" ht="16.5" thickBot="1" x14ac:dyDescent="0.3">
      <c r="A64" s="16"/>
      <c r="B64" s="22"/>
      <c r="C64" s="22"/>
      <c r="D64" s="17"/>
      <c r="E64" s="17"/>
      <c r="F64" s="17"/>
      <c r="G64" s="317" t="s">
        <v>153</v>
      </c>
      <c r="H64" s="17"/>
      <c r="I64" s="17"/>
      <c r="J64" s="17"/>
      <c r="K64" s="22"/>
      <c r="L64" s="22"/>
      <c r="M64" s="22"/>
      <c r="N64" s="22"/>
      <c r="O64" s="22"/>
      <c r="P64" s="22"/>
      <c r="Q64" s="22"/>
      <c r="R64" s="17"/>
      <c r="S64" s="17"/>
      <c r="T64" s="17"/>
      <c r="U64" s="17"/>
      <c r="V64" s="71"/>
      <c r="W64" s="296"/>
      <c r="X64" s="71"/>
      <c r="Y64" s="22"/>
      <c r="Z64" s="17"/>
      <c r="AA64" s="17"/>
      <c r="AB64" s="17"/>
      <c r="AC64" s="19"/>
    </row>
    <row r="65" spans="1:29" ht="21.75" customHeight="1" thickBot="1" x14ac:dyDescent="0.3">
      <c r="A65" s="16"/>
      <c r="B65" s="17"/>
      <c r="C65" s="312"/>
      <c r="D65" s="478" t="str">
        <f>'Taux anglais'!R19</f>
        <v>Under age 65</v>
      </c>
      <c r="E65" s="479"/>
      <c r="F65" s="479"/>
      <c r="G65" s="479"/>
      <c r="H65" s="479"/>
      <c r="I65" s="479"/>
      <c r="J65" s="479"/>
      <c r="K65" s="480"/>
      <c r="L65" s="68"/>
      <c r="M65" s="70"/>
      <c r="N65" s="70"/>
      <c r="O65" s="70"/>
      <c r="P65" s="70"/>
      <c r="Q65" s="70"/>
      <c r="R65" s="70"/>
      <c r="S65" s="70"/>
      <c r="T65" s="73"/>
      <c r="U65" s="17"/>
      <c r="V65" s="71"/>
      <c r="W65" s="71"/>
      <c r="X65" s="71"/>
      <c r="Y65" s="71"/>
      <c r="Z65" s="18"/>
      <c r="AA65" s="23" t="s">
        <v>324</v>
      </c>
      <c r="AB65" s="225">
        <f>IF(AND(F60="",W56=""),ROUND(V67*V62/1000,2)+V69,0)</f>
        <v>0</v>
      </c>
      <c r="AC65" s="19"/>
    </row>
    <row r="66" spans="1:29" ht="4.5" customHeight="1" thickBot="1" x14ac:dyDescent="0.3">
      <c r="A66" s="16"/>
      <c r="B66" s="207"/>
      <c r="C66" s="23"/>
      <c r="D66" s="17"/>
      <c r="E66" s="17"/>
      <c r="F66" s="17"/>
      <c r="G66" s="17"/>
      <c r="H66" s="17"/>
      <c r="I66" s="17"/>
      <c r="J66" s="17"/>
      <c r="K66" s="17"/>
      <c r="L66" s="68"/>
      <c r="M66" s="17"/>
      <c r="N66" s="17"/>
      <c r="O66" s="17"/>
      <c r="P66" s="17"/>
      <c r="Q66" s="17"/>
      <c r="R66" s="17"/>
      <c r="S66" s="17"/>
      <c r="T66" s="17"/>
      <c r="U66" s="74" t="s">
        <v>168</v>
      </c>
      <c r="V66" s="75"/>
      <c r="W66" s="17"/>
      <c r="X66" s="17"/>
      <c r="Y66" s="22"/>
      <c r="Z66" s="17"/>
      <c r="AA66" s="17"/>
      <c r="AB66" s="22"/>
      <c r="AC66" s="19"/>
    </row>
    <row r="67" spans="1:29" ht="21.75" customHeight="1" thickBot="1" x14ac:dyDescent="0.3">
      <c r="A67" s="16"/>
      <c r="B67" s="17"/>
      <c r="C67" s="17"/>
      <c r="D67" s="17"/>
      <c r="E67" s="17"/>
      <c r="F67" s="17"/>
      <c r="G67" s="17"/>
      <c r="H67" s="17"/>
      <c r="I67" s="17"/>
      <c r="J67" s="17"/>
      <c r="K67" s="17"/>
      <c r="L67" s="68"/>
      <c r="M67" s="70"/>
      <c r="N67" s="222"/>
      <c r="O67" s="222"/>
      <c r="P67" s="222"/>
      <c r="Q67" s="222"/>
      <c r="R67" s="222"/>
      <c r="S67" s="222"/>
      <c r="T67" s="70"/>
      <c r="U67" s="222" t="s">
        <v>346</v>
      </c>
      <c r="V67" s="232">
        <f>'Taux anglais'!L20</f>
        <v>0</v>
      </c>
      <c r="W67" s="71"/>
      <c r="X67" s="71"/>
      <c r="Y67" s="71"/>
      <c r="Z67" s="22"/>
      <c r="AA67" s="23" t="s">
        <v>325</v>
      </c>
      <c r="AB67" s="225">
        <f>26*AB65</f>
        <v>0</v>
      </c>
      <c r="AC67" s="19"/>
    </row>
    <row r="68" spans="1:29" ht="4.5" customHeight="1" thickBot="1" x14ac:dyDescent="0.3">
      <c r="A68" s="16"/>
      <c r="B68" s="17"/>
      <c r="C68" s="17"/>
      <c r="D68" s="17"/>
      <c r="E68" s="17"/>
      <c r="F68" s="17"/>
      <c r="G68" s="17"/>
      <c r="H68" s="17"/>
      <c r="I68" s="17"/>
      <c r="J68" s="17"/>
      <c r="K68" s="17"/>
      <c r="L68" s="68"/>
      <c r="M68" s="17"/>
      <c r="N68" s="17"/>
      <c r="O68" s="17"/>
      <c r="P68" s="17"/>
      <c r="Q68" s="17"/>
      <c r="R68" s="17"/>
      <c r="S68" s="17"/>
      <c r="T68" s="70"/>
      <c r="U68" s="17"/>
      <c r="V68" s="17"/>
      <c r="W68" s="17"/>
      <c r="X68" s="17"/>
      <c r="Y68" s="22"/>
      <c r="Z68" s="17"/>
      <c r="AA68" s="23"/>
      <c r="AB68" s="71"/>
      <c r="AC68" s="19"/>
    </row>
    <row r="69" spans="1:29" ht="21.75" customHeight="1" thickBot="1" x14ac:dyDescent="0.3">
      <c r="A69" s="16"/>
      <c r="B69" s="17"/>
      <c r="C69" s="17"/>
      <c r="D69" s="17"/>
      <c r="E69" s="17"/>
      <c r="F69" s="17"/>
      <c r="G69" s="17"/>
      <c r="H69" s="17"/>
      <c r="I69" s="17"/>
      <c r="J69" s="17"/>
      <c r="K69" s="17"/>
      <c r="L69" s="68"/>
      <c r="M69" s="70"/>
      <c r="N69" s="84"/>
      <c r="O69" s="84"/>
      <c r="P69" s="84"/>
      <c r="Q69" s="84"/>
      <c r="R69" s="84"/>
      <c r="S69" s="84"/>
      <c r="T69" s="70"/>
      <c r="U69" s="23" t="s">
        <v>330</v>
      </c>
      <c r="V69" s="233">
        <f>IF('Taux anglais'!L18='Taux anglais'!L15,'Nouveau taux'!M6,0)</f>
        <v>0</v>
      </c>
      <c r="W69" s="71"/>
      <c r="X69" s="71"/>
      <c r="Y69" s="71"/>
      <c r="Z69" s="22"/>
      <c r="AA69" s="17"/>
      <c r="AB69" s="339" t="str">
        <f xml:space="preserve"> IF(AB65&gt;0,"This cost takes into account a 50 % premium reduction but does not include the 9 % sales tax","")</f>
        <v/>
      </c>
      <c r="AC69" s="19"/>
    </row>
    <row r="70" spans="1:29" ht="4.5" customHeight="1" x14ac:dyDescent="0.25">
      <c r="A70" s="54"/>
      <c r="B70" s="78" t="s">
        <v>100</v>
      </c>
      <c r="C70" s="78"/>
      <c r="D70" s="55"/>
      <c r="E70" s="55"/>
      <c r="F70" s="55"/>
      <c r="G70" s="55"/>
      <c r="H70" s="55"/>
      <c r="I70" s="55"/>
      <c r="J70" s="55"/>
      <c r="K70" s="55"/>
      <c r="L70" s="55"/>
      <c r="M70" s="55"/>
      <c r="N70" s="55"/>
      <c r="O70" s="55"/>
      <c r="P70" s="55"/>
      <c r="Q70" s="55"/>
      <c r="R70" s="55"/>
      <c r="S70" s="55"/>
      <c r="T70" s="55"/>
      <c r="U70" s="55"/>
      <c r="V70" s="55"/>
      <c r="W70" s="55"/>
      <c r="X70" s="55"/>
      <c r="Y70" s="56"/>
      <c r="Z70" s="56"/>
      <c r="AA70" s="56"/>
      <c r="AB70" s="56"/>
      <c r="AC70" s="57"/>
    </row>
    <row r="71" spans="1:29" ht="21" x14ac:dyDescent="0.35">
      <c r="A71" s="25"/>
      <c r="B71" s="31" t="s">
        <v>154</v>
      </c>
      <c r="C71" s="31"/>
      <c r="D71" s="33"/>
      <c r="E71" s="33"/>
      <c r="F71" s="33"/>
      <c r="G71" s="33"/>
      <c r="H71" s="33"/>
      <c r="I71" s="33"/>
      <c r="J71" s="33"/>
      <c r="K71" s="33"/>
      <c r="L71" s="33"/>
      <c r="M71" s="33"/>
      <c r="N71" s="33"/>
      <c r="O71" s="33"/>
      <c r="P71" s="33"/>
      <c r="Q71" s="33"/>
      <c r="R71" s="33"/>
      <c r="S71" s="33"/>
      <c r="T71" s="33"/>
      <c r="U71" s="33"/>
      <c r="V71" s="79"/>
      <c r="W71" s="33"/>
      <c r="X71" s="33"/>
      <c r="Y71" s="28"/>
      <c r="Z71" s="34"/>
      <c r="AA71" s="34"/>
      <c r="AB71" s="34"/>
      <c r="AC71" s="35"/>
    </row>
    <row r="72" spans="1:29" ht="21.75" thickBot="1" x14ac:dyDescent="0.4">
      <c r="A72" s="30"/>
      <c r="B72" s="33" t="s">
        <v>312</v>
      </c>
      <c r="C72" s="36"/>
      <c r="D72" s="34"/>
      <c r="E72" s="33"/>
      <c r="F72" s="33"/>
      <c r="G72" s="33"/>
      <c r="H72" s="33"/>
      <c r="I72" s="33"/>
      <c r="J72" s="33"/>
      <c r="K72" s="33"/>
      <c r="L72" s="33"/>
      <c r="M72" s="33"/>
      <c r="N72" s="33"/>
      <c r="O72" s="33"/>
      <c r="P72" s="33"/>
      <c r="Q72" s="33"/>
      <c r="R72" s="33"/>
      <c r="S72" s="33"/>
      <c r="T72" s="33"/>
      <c r="U72" s="33"/>
      <c r="V72" s="79"/>
      <c r="W72" s="33"/>
      <c r="X72" s="33"/>
      <c r="Y72" s="34"/>
      <c r="Z72" s="34"/>
      <c r="AA72" s="34"/>
      <c r="AB72" s="34"/>
      <c r="AC72" s="35"/>
    </row>
    <row r="73" spans="1:29" ht="21.75" customHeight="1" thickBot="1" x14ac:dyDescent="0.3">
      <c r="A73" s="30"/>
      <c r="B73" s="119"/>
      <c r="C73" s="33"/>
      <c r="D73" s="469" t="s">
        <v>145</v>
      </c>
      <c r="E73" s="470"/>
      <c r="F73" s="444" t="str">
        <f>IF(COUNTBLANK(B73:B75)&lt;2,"You can't choose more than one answer",IF(COUNTBLANK(B73:B75)=3,"You have to choose an answer",""))</f>
        <v>You have to choose an answer</v>
      </c>
      <c r="G73" s="444"/>
      <c r="H73" s="444"/>
      <c r="I73" s="444"/>
      <c r="J73" s="444"/>
      <c r="K73" s="444"/>
      <c r="L73" s="33"/>
      <c r="M73" s="33"/>
      <c r="N73" s="33"/>
      <c r="O73" s="33"/>
      <c r="P73" s="33"/>
      <c r="Q73" s="79"/>
      <c r="R73" s="33"/>
      <c r="S73" s="33"/>
      <c r="T73" s="60"/>
      <c r="U73" s="33"/>
      <c r="V73" s="61"/>
      <c r="W73" s="33"/>
      <c r="X73" s="33"/>
      <c r="Y73" s="34"/>
      <c r="Z73" s="34"/>
      <c r="AA73" s="40" t="s">
        <v>324</v>
      </c>
      <c r="AB73" s="276">
        <f>IF(F73="",'Taux anglais'!L30,0)</f>
        <v>0</v>
      </c>
      <c r="AC73" s="35"/>
    </row>
    <row r="74" spans="1:29" ht="4.5" customHeight="1" thickBot="1" x14ac:dyDescent="0.3">
      <c r="A74" s="30"/>
      <c r="B74" s="210"/>
      <c r="C74" s="33"/>
      <c r="D74" s="216"/>
      <c r="E74" s="216"/>
      <c r="F74" s="444"/>
      <c r="G74" s="444"/>
      <c r="H74" s="444"/>
      <c r="I74" s="444"/>
      <c r="J74" s="444"/>
      <c r="K74" s="444"/>
      <c r="L74" s="33"/>
      <c r="M74" s="33"/>
      <c r="N74" s="33"/>
      <c r="O74" s="33"/>
      <c r="P74" s="33"/>
      <c r="Q74" s="33"/>
      <c r="R74" s="33"/>
      <c r="S74" s="33"/>
      <c r="T74" s="33"/>
      <c r="U74" s="33"/>
      <c r="V74" s="61"/>
      <c r="W74" s="33"/>
      <c r="X74" s="33"/>
      <c r="Y74" s="34"/>
      <c r="Z74" s="34"/>
      <c r="AA74" s="40"/>
      <c r="AB74" s="34"/>
      <c r="AC74" s="35"/>
    </row>
    <row r="75" spans="1:29" ht="21.75" customHeight="1" thickBot="1" x14ac:dyDescent="0.3">
      <c r="A75" s="30"/>
      <c r="B75" s="119"/>
      <c r="C75" s="33"/>
      <c r="D75" s="469" t="s">
        <v>146</v>
      </c>
      <c r="E75" s="470"/>
      <c r="F75" s="444"/>
      <c r="G75" s="444"/>
      <c r="H75" s="444"/>
      <c r="I75" s="444"/>
      <c r="J75" s="444"/>
      <c r="K75" s="444"/>
      <c r="L75" s="33"/>
      <c r="M75" s="33"/>
      <c r="N75" s="33"/>
      <c r="O75" s="33"/>
      <c r="P75" s="33"/>
      <c r="Q75" s="33"/>
      <c r="R75" s="33"/>
      <c r="S75" s="33"/>
      <c r="T75" s="443"/>
      <c r="U75" s="443"/>
      <c r="V75" s="443"/>
      <c r="W75" s="33"/>
      <c r="X75" s="33"/>
      <c r="Y75" s="34"/>
      <c r="Z75" s="34"/>
      <c r="AA75" s="40" t="s">
        <v>325</v>
      </c>
      <c r="AB75" s="276">
        <f>26*AB73</f>
        <v>0</v>
      </c>
      <c r="AC75" s="35"/>
    </row>
    <row r="76" spans="1:29" ht="15.75" x14ac:dyDescent="0.25">
      <c r="A76" s="30"/>
      <c r="B76" s="34"/>
      <c r="C76" s="33"/>
      <c r="D76" s="33"/>
      <c r="E76" s="33"/>
      <c r="F76" s="33"/>
      <c r="G76" s="81"/>
      <c r="H76" s="81"/>
      <c r="I76" s="81"/>
      <c r="J76" s="81"/>
      <c r="K76" s="81"/>
      <c r="L76" s="81"/>
      <c r="M76" s="33"/>
      <c r="N76" s="33"/>
      <c r="O76" s="33"/>
      <c r="P76" s="33"/>
      <c r="Q76" s="33"/>
      <c r="R76" s="33"/>
      <c r="S76" s="33"/>
      <c r="T76" s="33"/>
      <c r="U76" s="33"/>
      <c r="V76" s="61"/>
      <c r="W76" s="33"/>
      <c r="X76" s="33"/>
      <c r="Y76" s="34"/>
      <c r="Z76" s="34"/>
      <c r="AA76" s="34"/>
      <c r="AB76" s="341" t="str">
        <f xml:space="preserve"> IF(AB73&gt;0,"This cost takes into account a 50 % premium reduction but does not include the 9 % sales tax","")</f>
        <v/>
      </c>
      <c r="AC76" s="35"/>
    </row>
    <row r="77" spans="1:29" ht="15.75" x14ac:dyDescent="0.25">
      <c r="A77" s="30"/>
      <c r="B77" s="33"/>
      <c r="C77" s="33"/>
      <c r="D77" s="33"/>
      <c r="E77" s="33"/>
      <c r="F77" s="37"/>
      <c r="G77" s="114" t="s">
        <v>168</v>
      </c>
      <c r="H77" s="81"/>
      <c r="I77" s="81"/>
      <c r="J77" s="81"/>
      <c r="K77" s="81"/>
      <c r="L77" s="81"/>
      <c r="M77" s="33"/>
      <c r="N77" s="33"/>
      <c r="O77" s="33"/>
      <c r="P77" s="33"/>
      <c r="Q77" s="33"/>
      <c r="R77" s="33"/>
      <c r="S77" s="33"/>
      <c r="T77" s="33"/>
      <c r="U77" s="33"/>
      <c r="V77" s="79"/>
      <c r="W77" s="33"/>
      <c r="X77" s="33"/>
      <c r="Y77" s="34"/>
      <c r="Z77" s="34"/>
      <c r="AA77" s="33"/>
      <c r="AB77" s="33"/>
      <c r="AC77" s="35"/>
    </row>
    <row r="78" spans="1:29" ht="3.75" customHeight="1" x14ac:dyDescent="0.25">
      <c r="A78" s="13"/>
      <c r="B78" s="65"/>
      <c r="C78" s="65"/>
      <c r="D78" s="65"/>
      <c r="E78" s="65"/>
      <c r="F78" s="65"/>
      <c r="G78" s="65"/>
      <c r="H78" s="65"/>
      <c r="I78" s="65"/>
      <c r="J78" s="65"/>
      <c r="K78" s="65"/>
      <c r="L78" s="65"/>
      <c r="M78" s="65"/>
      <c r="N78" s="65"/>
      <c r="O78" s="65"/>
      <c r="P78" s="65"/>
      <c r="Q78" s="65"/>
      <c r="R78" s="14"/>
      <c r="S78" s="14"/>
      <c r="T78" s="14"/>
      <c r="U78" s="14"/>
      <c r="V78" s="14"/>
      <c r="W78" s="14"/>
      <c r="X78" s="14"/>
      <c r="Y78" s="48"/>
      <c r="Z78" s="48"/>
      <c r="AA78" s="48"/>
      <c r="AB78" s="48"/>
      <c r="AC78" s="15"/>
    </row>
    <row r="79" spans="1:29" ht="21.75" thickBot="1" x14ac:dyDescent="0.4">
      <c r="A79" s="16"/>
      <c r="B79" s="49" t="s">
        <v>155</v>
      </c>
      <c r="C79" s="49"/>
      <c r="D79" s="17"/>
      <c r="E79" s="17"/>
      <c r="F79" s="17"/>
      <c r="G79" s="17"/>
      <c r="H79" s="17"/>
      <c r="I79" s="17"/>
      <c r="J79" s="17"/>
      <c r="K79" s="17"/>
      <c r="L79" s="17"/>
      <c r="M79" s="17"/>
      <c r="N79" s="17"/>
      <c r="O79" s="17"/>
      <c r="P79" s="17"/>
      <c r="Q79" s="17"/>
      <c r="R79" s="53"/>
      <c r="S79" s="17"/>
      <c r="T79" s="17"/>
      <c r="U79" s="17"/>
      <c r="V79" s="17"/>
      <c r="W79" s="17"/>
      <c r="X79" s="17"/>
      <c r="Y79" s="22"/>
      <c r="Z79" s="22"/>
      <c r="AA79" s="22"/>
      <c r="AB79" s="22"/>
      <c r="AC79" s="19"/>
    </row>
    <row r="80" spans="1:29" ht="21.75" customHeight="1" thickBot="1" x14ac:dyDescent="0.4">
      <c r="A80" s="16"/>
      <c r="B80" s="20" t="s">
        <v>156</v>
      </c>
      <c r="C80" s="20"/>
      <c r="D80" s="17"/>
      <c r="E80" s="17"/>
      <c r="F80" s="17"/>
      <c r="G80" s="17"/>
      <c r="H80" s="17"/>
      <c r="I80" s="17"/>
      <c r="J80" s="17"/>
      <c r="K80" s="17"/>
      <c r="L80" s="17"/>
      <c r="M80" s="17"/>
      <c r="N80" s="17"/>
      <c r="O80" s="222"/>
      <c r="P80" s="222"/>
      <c r="Q80" s="222"/>
      <c r="R80" s="222"/>
      <c r="S80" s="222"/>
      <c r="T80" s="221"/>
      <c r="U80" s="222" t="s">
        <v>336</v>
      </c>
      <c r="V80" s="280">
        <f>'Taux anglais'!R50</f>
        <v>0</v>
      </c>
      <c r="W80" s="17"/>
      <c r="X80" s="23" t="s">
        <v>158</v>
      </c>
      <c r="Y80" s="212">
        <f>IF(AND('Taux anglais'!V45&gt;0,'Taux anglais'!W48&gt;0),0,'Taux anglais'!V45+'Taux anglais'!W48)</f>
        <v>0</v>
      </c>
      <c r="Z80" s="82"/>
      <c r="AA80" s="22"/>
      <c r="AB80" s="22"/>
      <c r="AC80" s="19"/>
    </row>
    <row r="81" spans="1:29" ht="21" x14ac:dyDescent="0.35">
      <c r="A81" s="16"/>
      <c r="B81" s="20"/>
      <c r="C81" s="20"/>
      <c r="D81" s="17"/>
      <c r="E81" s="17"/>
      <c r="F81" s="17"/>
      <c r="G81" s="17"/>
      <c r="H81" s="17"/>
      <c r="I81" s="17"/>
      <c r="J81" s="17"/>
      <c r="K81" s="17"/>
      <c r="L81" s="17"/>
      <c r="M81" s="17"/>
      <c r="N81" s="17"/>
      <c r="O81" s="83"/>
      <c r="P81" s="83"/>
      <c r="Q81" s="83"/>
      <c r="R81" s="83"/>
      <c r="S81" s="83"/>
      <c r="T81" s="83"/>
      <c r="U81" s="73"/>
      <c r="V81" s="17"/>
      <c r="W81" s="17"/>
      <c r="X81" s="23"/>
      <c r="Y81" s="82"/>
      <c r="Z81" s="82"/>
      <c r="AA81" s="22"/>
      <c r="AB81" s="22"/>
      <c r="AC81" s="19"/>
    </row>
    <row r="82" spans="1:29" ht="15.75" thickBot="1" x14ac:dyDescent="0.3">
      <c r="A82" s="16"/>
      <c r="B82" s="433" t="s">
        <v>312</v>
      </c>
      <c r="C82" s="433"/>
      <c r="D82" s="433"/>
      <c r="E82" s="433"/>
      <c r="F82" s="433"/>
      <c r="G82" s="433"/>
      <c r="H82" s="433"/>
      <c r="I82" s="17" t="s">
        <v>159</v>
      </c>
      <c r="J82" s="17"/>
      <c r="K82" s="17"/>
      <c r="L82" s="17"/>
      <c r="M82" s="17"/>
      <c r="N82" s="17"/>
      <c r="O82" s="17"/>
      <c r="P82" s="17"/>
      <c r="Q82" s="17"/>
      <c r="R82" s="431" t="s">
        <v>332</v>
      </c>
      <c r="S82" s="431"/>
      <c r="T82" s="431"/>
      <c r="U82" s="431"/>
      <c r="V82" s="431"/>
      <c r="W82" s="431"/>
      <c r="X82" s="431"/>
      <c r="Y82" s="22"/>
      <c r="Z82" s="22"/>
      <c r="AA82" s="22"/>
      <c r="AB82" s="22"/>
      <c r="AC82" s="19"/>
    </row>
    <row r="83" spans="1:29" ht="21.75" customHeight="1" thickBot="1" x14ac:dyDescent="0.3">
      <c r="A83" s="16"/>
      <c r="B83" s="119"/>
      <c r="C83" s="17"/>
      <c r="D83" s="478" t="s">
        <v>145</v>
      </c>
      <c r="E83" s="480"/>
      <c r="F83" s="430" t="str">
        <f>IF(COUNTBLANK(B83:B85)&lt;2,"You can't choose more than one answer",IF(COUNTBLANK(B83:B85)=3,"You have to choose an answer",""))</f>
        <v>You have to choose an answer</v>
      </c>
      <c r="G83" s="430"/>
      <c r="H83" s="430"/>
      <c r="I83" s="119"/>
      <c r="J83" s="17"/>
      <c r="K83" s="434" t="s">
        <v>160</v>
      </c>
      <c r="L83" s="436"/>
      <c r="M83" s="430" t="str">
        <f>IF(COUNTBLANK(I83:I85)&lt;2,"You can't choose more than one answer",IF(COUNTBLANK(I83:I85)=3,"You have to choose an answer",""))</f>
        <v>You have to choose an answer</v>
      </c>
      <c r="N83" s="430"/>
      <c r="O83" s="430"/>
      <c r="P83" s="221"/>
      <c r="Q83" s="221"/>
      <c r="R83" s="85"/>
      <c r="S83" s="22"/>
      <c r="T83" s="234"/>
      <c r="U83" s="494" t="s">
        <v>331</v>
      </c>
      <c r="V83" s="495"/>
      <c r="W83" s="496"/>
      <c r="X83" s="212">
        <f>IF(OR(T83=1,T83=2,T83=3,T83=4,T83=5,T83=6,T83=7),T83*20000,0)</f>
        <v>0</v>
      </c>
      <c r="Y83" s="497" t="str">
        <f>IF(AND(X83&gt;0,X90&gt;0),"If you change the amount of insurance you already have, you must take units of $25 000","")</f>
        <v/>
      </c>
      <c r="Z83" s="497"/>
      <c r="AA83" s="22"/>
      <c r="AB83" s="22"/>
      <c r="AC83" s="19"/>
    </row>
    <row r="84" spans="1:29" ht="4.5" customHeight="1" thickBot="1" x14ac:dyDescent="0.3">
      <c r="A84" s="16"/>
      <c r="B84" s="207"/>
      <c r="C84" s="23"/>
      <c r="D84" s="124"/>
      <c r="E84" s="124"/>
      <c r="F84" s="430"/>
      <c r="G84" s="430"/>
      <c r="H84" s="430"/>
      <c r="I84" s="207"/>
      <c r="J84" s="17"/>
      <c r="K84" s="51"/>
      <c r="L84" s="51"/>
      <c r="M84" s="430"/>
      <c r="N84" s="430"/>
      <c r="O84" s="430"/>
      <c r="P84" s="221"/>
      <c r="Q84" s="221"/>
      <c r="R84" s="86"/>
      <c r="S84" s="17"/>
      <c r="T84" s="17"/>
      <c r="U84" s="17"/>
      <c r="V84" s="17"/>
      <c r="W84" s="17"/>
      <c r="X84" s="17"/>
      <c r="Y84" s="497"/>
      <c r="Z84" s="497"/>
      <c r="AA84" s="22"/>
      <c r="AB84" s="22"/>
      <c r="AC84" s="19"/>
    </row>
    <row r="85" spans="1:29" ht="21.75" customHeight="1" thickBot="1" x14ac:dyDescent="0.3">
      <c r="A85" s="16"/>
      <c r="B85" s="119"/>
      <c r="C85" s="17"/>
      <c r="D85" s="478" t="s">
        <v>146</v>
      </c>
      <c r="E85" s="480"/>
      <c r="F85" s="430"/>
      <c r="G85" s="430"/>
      <c r="H85" s="430"/>
      <c r="I85" s="119"/>
      <c r="J85" s="17"/>
      <c r="K85" s="434" t="s">
        <v>161</v>
      </c>
      <c r="L85" s="436"/>
      <c r="M85" s="430"/>
      <c r="N85" s="430"/>
      <c r="O85" s="430"/>
      <c r="P85" s="221"/>
      <c r="Q85" s="221"/>
      <c r="R85" s="86"/>
      <c r="S85" s="17"/>
      <c r="T85" s="17"/>
      <c r="U85" s="17"/>
      <c r="V85" s="17"/>
      <c r="W85" s="17"/>
      <c r="X85" s="17"/>
      <c r="Y85" s="497"/>
      <c r="Z85" s="497"/>
      <c r="AA85" s="22"/>
      <c r="AB85" s="22"/>
      <c r="AC85" s="19"/>
    </row>
    <row r="86" spans="1:29" ht="6.4" customHeight="1" x14ac:dyDescent="0.25">
      <c r="A86" s="16"/>
      <c r="B86" s="22"/>
      <c r="C86" s="23"/>
      <c r="D86" s="17"/>
      <c r="E86" s="17"/>
      <c r="F86" s="17"/>
      <c r="G86" s="17"/>
      <c r="H86" s="17"/>
      <c r="I86" s="17"/>
      <c r="J86" s="17"/>
      <c r="K86" s="51"/>
      <c r="L86" s="51"/>
      <c r="M86" s="17"/>
      <c r="N86" s="68"/>
      <c r="O86" s="68"/>
      <c r="P86" s="68"/>
      <c r="Q86" s="68"/>
      <c r="R86" s="86"/>
      <c r="S86" s="17"/>
      <c r="T86" s="17"/>
      <c r="U86" s="17"/>
      <c r="V86" s="17"/>
      <c r="W86" s="17"/>
      <c r="X86" s="17"/>
      <c r="Y86" s="497"/>
      <c r="Z86" s="497"/>
      <c r="AA86" s="22"/>
      <c r="AB86" s="22"/>
      <c r="AC86" s="19"/>
    </row>
    <row r="87" spans="1:29" ht="15.75" x14ac:dyDescent="0.25">
      <c r="A87" s="16"/>
      <c r="B87" s="422" t="str">
        <f>IF(AND((OR(B83="x",B83="X")),OR(NOT(OR(Q58="x",Q58="X")),NOT(OR(B60="x",B60="X")))),"You must take out maximum of the basic life coverage in order to add optional life insurance","")</f>
        <v/>
      </c>
      <c r="C87" s="23"/>
      <c r="D87" s="17"/>
      <c r="E87" s="17"/>
      <c r="F87" s="17"/>
      <c r="G87" s="17"/>
      <c r="H87" s="17"/>
      <c r="I87" s="17"/>
      <c r="J87" s="17"/>
      <c r="K87" s="51"/>
      <c r="L87" s="51"/>
      <c r="M87" s="17"/>
      <c r="N87" s="68"/>
      <c r="O87" s="68"/>
      <c r="P87" s="68"/>
      <c r="Q87" s="68"/>
      <c r="R87" s="86"/>
      <c r="S87" s="17"/>
      <c r="T87" s="17"/>
      <c r="U87" s="17"/>
      <c r="V87" s="17"/>
      <c r="W87" s="17"/>
      <c r="X87" s="17"/>
      <c r="Y87" s="497"/>
      <c r="Z87" s="497"/>
      <c r="AA87" s="22"/>
      <c r="AB87" s="22"/>
      <c r="AC87" s="19"/>
    </row>
    <row r="88" spans="1:29" ht="15.75" x14ac:dyDescent="0.25">
      <c r="A88" s="16"/>
      <c r="B88" s="17"/>
      <c r="C88" s="17"/>
      <c r="D88" s="17"/>
      <c r="E88" s="17"/>
      <c r="F88" s="17"/>
      <c r="G88" s="17"/>
      <c r="H88" s="17"/>
      <c r="I88" s="17" t="s">
        <v>159</v>
      </c>
      <c r="J88" s="17"/>
      <c r="K88" s="21"/>
      <c r="L88" s="21"/>
      <c r="M88" s="85"/>
      <c r="N88" s="68"/>
      <c r="O88" s="68"/>
      <c r="P88" s="68"/>
      <c r="Q88" s="68"/>
      <c r="R88" s="431" t="s">
        <v>333</v>
      </c>
      <c r="S88" s="431"/>
      <c r="T88" s="431"/>
      <c r="U88" s="431"/>
      <c r="V88" s="431"/>
      <c r="W88" s="431"/>
      <c r="X88" s="431"/>
      <c r="Y88" s="497"/>
      <c r="Z88" s="497"/>
      <c r="AA88" s="22"/>
      <c r="AB88" s="22"/>
      <c r="AC88" s="19"/>
    </row>
    <row r="89" spans="1:29" ht="3.75" customHeight="1" thickBot="1" x14ac:dyDescent="0.3">
      <c r="A89" s="16"/>
      <c r="B89" s="22"/>
      <c r="C89" s="23"/>
      <c r="D89" s="17"/>
      <c r="E89" s="17"/>
      <c r="F89" s="17"/>
      <c r="G89" s="17"/>
      <c r="H89" s="17"/>
      <c r="I89" s="17"/>
      <c r="J89" s="17"/>
      <c r="K89" s="51"/>
      <c r="L89" s="51"/>
      <c r="M89" s="17"/>
      <c r="N89" s="17"/>
      <c r="O89" s="17"/>
      <c r="P89" s="17"/>
      <c r="Q89" s="17"/>
      <c r="R89" s="17"/>
      <c r="S89" s="17"/>
      <c r="T89" s="17"/>
      <c r="U89" s="17"/>
      <c r="V89" s="17"/>
      <c r="W89" s="17"/>
      <c r="X89" s="17"/>
      <c r="Y89" s="22"/>
      <c r="Z89" s="22"/>
      <c r="AA89" s="22"/>
      <c r="AB89" s="22"/>
      <c r="AC89" s="19"/>
    </row>
    <row r="90" spans="1:29" ht="27.75" customHeight="1" thickBot="1" x14ac:dyDescent="0.3">
      <c r="A90" s="16"/>
      <c r="B90" s="445" t="s">
        <v>293</v>
      </c>
      <c r="C90" s="445"/>
      <c r="D90" s="445"/>
      <c r="E90" s="445"/>
      <c r="F90" s="445"/>
      <c r="G90" s="17"/>
      <c r="H90" s="17"/>
      <c r="I90" s="119"/>
      <c r="J90" s="17"/>
      <c r="K90" s="434" t="s">
        <v>162</v>
      </c>
      <c r="L90" s="436"/>
      <c r="M90" s="430" t="str">
        <f>IF(COUNTBLANK(I90:I92)&lt;2,"You can't choose more than one answer",IF(COUNTBLANK(I90:I92)=3,"You have to choose an answer",""))</f>
        <v>You have to choose an answer</v>
      </c>
      <c r="N90" s="430"/>
      <c r="O90" s="430"/>
      <c r="P90" s="221"/>
      <c r="Q90" s="221"/>
      <c r="R90" s="85"/>
      <c r="S90" s="22"/>
      <c r="T90" s="234"/>
      <c r="U90" s="494" t="s">
        <v>328</v>
      </c>
      <c r="V90" s="495"/>
      <c r="W90" s="496"/>
      <c r="X90" s="212">
        <f>IF(OR(T90=1,T90=2,T90=3,T90=4,T90=5,T90=6,T90=7,T90=8,T90=9,T90=10),T90*25000,0)</f>
        <v>0</v>
      </c>
      <c r="Y90" s="22"/>
      <c r="Z90" s="18"/>
      <c r="AA90" s="23" t="s">
        <v>324</v>
      </c>
      <c r="AB90" s="202">
        <f>IF(AND(F83="",M83="",M90="",Y83="",B93=""),ROUND(Y80/1000*V80,2),0)</f>
        <v>0</v>
      </c>
      <c r="AC90" s="19"/>
    </row>
    <row r="91" spans="1:29" ht="3" customHeight="1" thickBot="1" x14ac:dyDescent="0.3">
      <c r="A91" s="16"/>
      <c r="B91" s="87"/>
      <c r="C91" s="87"/>
      <c r="D91" s="87"/>
      <c r="E91" s="87"/>
      <c r="F91" s="87"/>
      <c r="G91" s="87"/>
      <c r="H91" s="17"/>
      <c r="I91" s="207"/>
      <c r="J91" s="17"/>
      <c r="K91" s="21"/>
      <c r="L91" s="21"/>
      <c r="M91" s="430"/>
      <c r="N91" s="430"/>
      <c r="O91" s="430"/>
      <c r="P91" s="221"/>
      <c r="Q91" s="221"/>
      <c r="R91" s="86"/>
      <c r="S91" s="17"/>
      <c r="T91" s="52"/>
      <c r="U91" s="52"/>
      <c r="V91" s="17"/>
      <c r="W91" s="17"/>
      <c r="X91" s="17"/>
      <c r="Y91" s="22"/>
      <c r="Z91" s="17"/>
      <c r="AA91" s="17"/>
      <c r="AB91" s="22"/>
      <c r="AC91" s="19"/>
    </row>
    <row r="92" spans="1:29" ht="21.75" customHeight="1" thickBot="1" x14ac:dyDescent="0.3">
      <c r="A92" s="16"/>
      <c r="B92" s="282">
        <f>I4</f>
        <v>0</v>
      </c>
      <c r="C92" s="318" t="s">
        <v>163</v>
      </c>
      <c r="D92" s="283"/>
      <c r="E92" s="204"/>
      <c r="F92" s="205"/>
      <c r="G92" s="87"/>
      <c r="H92" s="17"/>
      <c r="I92" s="119"/>
      <c r="J92" s="17"/>
      <c r="K92" s="434" t="s">
        <v>164</v>
      </c>
      <c r="L92" s="436"/>
      <c r="M92" s="430"/>
      <c r="N92" s="430"/>
      <c r="O92" s="430"/>
      <c r="P92" s="221"/>
      <c r="Q92" s="221"/>
      <c r="R92" s="86"/>
      <c r="S92" s="17"/>
      <c r="T92" s="52"/>
      <c r="U92" s="52"/>
      <c r="V92" s="17"/>
      <c r="W92" s="17"/>
      <c r="X92" s="17"/>
      <c r="Y92" s="22"/>
      <c r="Z92" s="22"/>
      <c r="AA92" s="23" t="s">
        <v>325</v>
      </c>
      <c r="AB92" s="202">
        <f>AB90*26</f>
        <v>0</v>
      </c>
      <c r="AC92" s="19"/>
    </row>
    <row r="93" spans="1:29" ht="15.75" x14ac:dyDescent="0.25">
      <c r="A93" s="16"/>
      <c r="B93" s="455" t="str">
        <f>IF(B92&gt;=70,"Optional Life Insurance is no longer available after age 70.","")</f>
        <v/>
      </c>
      <c r="C93" s="455"/>
      <c r="D93" s="455"/>
      <c r="E93" s="455"/>
      <c r="F93" s="455"/>
      <c r="G93" s="455"/>
      <c r="H93" s="455"/>
      <c r="I93" s="455"/>
      <c r="J93" s="455"/>
      <c r="K93" s="455"/>
      <c r="L93" s="455"/>
      <c r="M93" s="455"/>
      <c r="N93" s="455"/>
      <c r="O93" s="455"/>
      <c r="P93" s="455"/>
      <c r="Q93" s="455"/>
      <c r="R93" s="455"/>
      <c r="S93" s="455"/>
      <c r="T93" s="455"/>
      <c r="U93" s="455"/>
      <c r="V93" s="455"/>
      <c r="W93" s="17"/>
      <c r="X93" s="17"/>
      <c r="Y93" s="17"/>
      <c r="Z93" s="22"/>
      <c r="AA93" s="23"/>
      <c r="AB93" s="339" t="str">
        <f xml:space="preserve"> IF(AB90&gt;0,"This cost takes into account a 50 % premium reduction but does not include the 9 % sales tax","")</f>
        <v/>
      </c>
      <c r="AC93" s="19"/>
    </row>
    <row r="94" spans="1:29" ht="5.25" customHeight="1" x14ac:dyDescent="0.25">
      <c r="A94" s="16"/>
      <c r="B94" s="112"/>
      <c r="C94" s="112"/>
      <c r="D94" s="112"/>
      <c r="E94" s="112"/>
      <c r="F94" s="112"/>
      <c r="G94" s="112"/>
      <c r="H94" s="112"/>
      <c r="I94" s="112"/>
      <c r="J94" s="112"/>
      <c r="K94" s="112"/>
      <c r="L94" s="112"/>
      <c r="M94" s="88"/>
      <c r="N94" s="88"/>
      <c r="O94" s="88"/>
      <c r="P94" s="88"/>
      <c r="Q94" s="88"/>
      <c r="R94" s="86"/>
      <c r="S94" s="432"/>
      <c r="T94" s="432"/>
      <c r="U94" s="432"/>
      <c r="V94" s="432"/>
      <c r="W94" s="432"/>
      <c r="X94" s="432"/>
      <c r="Y94" s="17"/>
      <c r="Z94" s="22"/>
      <c r="AA94" s="22"/>
      <c r="AB94" s="18"/>
      <c r="AC94" s="19"/>
    </row>
    <row r="95" spans="1:29" ht="5.25" customHeight="1" x14ac:dyDescent="0.25">
      <c r="A95" s="89"/>
      <c r="B95" s="90"/>
      <c r="C95" s="90"/>
      <c r="D95" s="90"/>
      <c r="E95" s="90"/>
      <c r="F95" s="90"/>
      <c r="G95" s="90"/>
      <c r="H95" s="90"/>
      <c r="I95" s="90"/>
      <c r="J95" s="90"/>
      <c r="K95" s="90"/>
      <c r="L95" s="90"/>
      <c r="M95" s="90"/>
      <c r="N95" s="90"/>
      <c r="O95" s="90"/>
      <c r="P95" s="90"/>
      <c r="Q95" s="90"/>
      <c r="R95" s="91"/>
      <c r="S95" s="91"/>
      <c r="T95" s="91"/>
      <c r="U95" s="91"/>
      <c r="V95" s="91"/>
      <c r="W95" s="91"/>
      <c r="X95" s="91"/>
      <c r="Y95" s="92"/>
      <c r="Z95" s="92"/>
      <c r="AA95" s="92"/>
      <c r="AB95" s="92"/>
      <c r="AC95" s="93"/>
    </row>
    <row r="96" spans="1:29" ht="21.75" thickBot="1" x14ac:dyDescent="0.4">
      <c r="A96" s="16"/>
      <c r="B96" s="49" t="s">
        <v>155</v>
      </c>
      <c r="C96" s="49"/>
      <c r="D96" s="17"/>
      <c r="E96" s="17"/>
      <c r="F96" s="17"/>
      <c r="G96" s="17"/>
      <c r="H96" s="17"/>
      <c r="I96" s="17"/>
      <c r="J96" s="17"/>
      <c r="K96" s="17"/>
      <c r="L96" s="17"/>
      <c r="M96" s="17"/>
      <c r="N96" s="17"/>
      <c r="O96" s="17"/>
      <c r="P96" s="17"/>
      <c r="Q96" s="17"/>
      <c r="R96" s="53"/>
      <c r="S96" s="17"/>
      <c r="T96" s="17"/>
      <c r="U96" s="17"/>
      <c r="V96" s="17"/>
      <c r="W96" s="17"/>
      <c r="X96" s="17"/>
      <c r="Y96" s="22"/>
      <c r="Z96" s="22"/>
      <c r="AA96" s="22"/>
      <c r="AB96" s="22"/>
      <c r="AC96" s="19"/>
    </row>
    <row r="97" spans="1:29" ht="21.75" customHeight="1" thickBot="1" x14ac:dyDescent="0.4">
      <c r="A97" s="16"/>
      <c r="B97" s="20" t="s">
        <v>165</v>
      </c>
      <c r="C97" s="20"/>
      <c r="D97" s="17"/>
      <c r="E97" s="17"/>
      <c r="F97" s="17"/>
      <c r="G97" s="17"/>
      <c r="H97" s="17"/>
      <c r="I97" s="17"/>
      <c r="J97" s="17"/>
      <c r="K97" s="17"/>
      <c r="L97" s="17"/>
      <c r="M97" s="17"/>
      <c r="N97" s="17"/>
      <c r="O97" s="17"/>
      <c r="P97" s="17"/>
      <c r="Q97" s="17"/>
      <c r="R97" s="17"/>
      <c r="S97" s="17"/>
      <c r="T97" s="17"/>
      <c r="U97" s="222" t="s">
        <v>157</v>
      </c>
      <c r="V97" s="280">
        <f>'Taux anglais'!R52</f>
        <v>0</v>
      </c>
      <c r="W97" s="17"/>
      <c r="X97" s="23" t="s">
        <v>158</v>
      </c>
      <c r="Y97" s="212">
        <f>IF(AND(X100&gt;0,X107&gt;0),0,X100+X107)</f>
        <v>0</v>
      </c>
      <c r="Z97" s="82"/>
      <c r="AA97" s="22"/>
      <c r="AB97" s="22"/>
      <c r="AC97" s="19"/>
    </row>
    <row r="98" spans="1:29" ht="21" x14ac:dyDescent="0.35">
      <c r="A98" s="16"/>
      <c r="B98" s="20"/>
      <c r="C98" s="20"/>
      <c r="D98" s="17"/>
      <c r="E98" s="17"/>
      <c r="F98" s="17"/>
      <c r="G98" s="17"/>
      <c r="H98" s="17"/>
      <c r="I98" s="17"/>
      <c r="J98" s="17"/>
      <c r="K98" s="17"/>
      <c r="L98" s="17"/>
      <c r="M98" s="17"/>
      <c r="N98" s="17"/>
      <c r="O98" s="83"/>
      <c r="P98" s="83"/>
      <c r="Q98" s="83"/>
      <c r="R98" s="83"/>
      <c r="S98" s="83"/>
      <c r="T98" s="83"/>
      <c r="U98" s="73"/>
      <c r="V98" s="17"/>
      <c r="W98" s="17"/>
      <c r="X98" s="23"/>
      <c r="Y98" s="82"/>
      <c r="Z98" s="82"/>
      <c r="AA98" s="22"/>
      <c r="AB98" s="22"/>
      <c r="AC98" s="19"/>
    </row>
    <row r="99" spans="1:29" ht="15" customHeight="1" thickBot="1" x14ac:dyDescent="0.3">
      <c r="A99" s="16"/>
      <c r="B99" s="433" t="s">
        <v>312</v>
      </c>
      <c r="C99" s="433"/>
      <c r="D99" s="433"/>
      <c r="E99" s="433"/>
      <c r="F99" s="433"/>
      <c r="G99" s="433"/>
      <c r="H99" s="433"/>
      <c r="I99" s="84"/>
      <c r="J99" s="84"/>
      <c r="K99" s="17" t="s">
        <v>159</v>
      </c>
      <c r="L99" s="17"/>
      <c r="M99" s="17"/>
      <c r="N99" s="17"/>
      <c r="O99" s="17"/>
      <c r="P99" s="17"/>
      <c r="Q99" s="17"/>
      <c r="R99" s="431" t="s">
        <v>332</v>
      </c>
      <c r="S99" s="431"/>
      <c r="T99" s="431"/>
      <c r="U99" s="431"/>
      <c r="V99" s="431"/>
      <c r="W99" s="431"/>
      <c r="X99" s="431"/>
      <c r="Y99" s="22"/>
      <c r="Z99" s="22"/>
      <c r="AA99" s="22"/>
      <c r="AB99" s="22"/>
      <c r="AC99" s="19"/>
    </row>
    <row r="100" spans="1:29" ht="21.75" customHeight="1" thickBot="1" x14ac:dyDescent="0.3">
      <c r="A100" s="16"/>
      <c r="B100" s="119"/>
      <c r="C100" s="17"/>
      <c r="D100" s="434" t="s">
        <v>145</v>
      </c>
      <c r="E100" s="436"/>
      <c r="F100" s="430" t="str">
        <f>IF(COUNTBLANK(B100:B102)&lt;2,"You can't choose more than one answer",IF(COUNTBLANK(B100:B102)=3,"You have to choose an answer",""))</f>
        <v>You have to choose an answer</v>
      </c>
      <c r="G100" s="430"/>
      <c r="H100" s="430"/>
      <c r="I100" s="119"/>
      <c r="J100" s="17"/>
      <c r="K100" s="434" t="s">
        <v>160</v>
      </c>
      <c r="L100" s="436"/>
      <c r="M100" s="430" t="str">
        <f>IF(COUNTBLANK(I100:I102)&lt;2,"You can't choose more than one answer",IF(COUNTBLANK(I100:I102)=3,"You have to choose an answer",""))</f>
        <v>You have to choose an answer</v>
      </c>
      <c r="N100" s="430"/>
      <c r="O100" s="430"/>
      <c r="P100" s="221"/>
      <c r="Q100" s="221"/>
      <c r="R100" s="85"/>
      <c r="S100" s="22"/>
      <c r="T100" s="281"/>
      <c r="U100" s="494" t="s">
        <v>334</v>
      </c>
      <c r="V100" s="495"/>
      <c r="W100" s="496"/>
      <c r="X100" s="212">
        <f>IF(OR(T100=1,T100=2,T100=3,T100=4,T100=5,T100=6,T100=7),T100*20000,0)</f>
        <v>0</v>
      </c>
      <c r="Y100" s="497" t="str">
        <f>IF(AND(X100&gt;0,X107&gt;0),"If you change the amount of insurance you already have, you must take units of $25 000","")</f>
        <v/>
      </c>
      <c r="Z100" s="497"/>
      <c r="AA100" s="22"/>
      <c r="AB100" s="22"/>
      <c r="AC100" s="19"/>
    </row>
    <row r="101" spans="1:29" ht="4.5" customHeight="1" thickBot="1" x14ac:dyDescent="0.3">
      <c r="A101" s="16"/>
      <c r="B101" s="207"/>
      <c r="C101" s="23"/>
      <c r="D101" s="17"/>
      <c r="E101" s="17"/>
      <c r="F101" s="430"/>
      <c r="G101" s="430"/>
      <c r="H101" s="430"/>
      <c r="I101" s="207"/>
      <c r="J101" s="17"/>
      <c r="K101" s="51"/>
      <c r="L101" s="51"/>
      <c r="M101" s="430"/>
      <c r="N101" s="430"/>
      <c r="O101" s="430"/>
      <c r="P101" s="221"/>
      <c r="Q101" s="221"/>
      <c r="R101" s="86"/>
      <c r="S101" s="17"/>
      <c r="T101" s="17"/>
      <c r="U101" s="17"/>
      <c r="V101" s="17"/>
      <c r="W101" s="17"/>
      <c r="X101" s="17"/>
      <c r="Y101" s="497"/>
      <c r="Z101" s="497"/>
      <c r="AA101" s="22"/>
      <c r="AB101" s="22"/>
      <c r="AC101" s="19"/>
    </row>
    <row r="102" spans="1:29" ht="21.75" thickBot="1" x14ac:dyDescent="0.3">
      <c r="A102" s="16"/>
      <c r="B102" s="119"/>
      <c r="C102" s="17"/>
      <c r="D102" s="434" t="s">
        <v>146</v>
      </c>
      <c r="E102" s="436"/>
      <c r="F102" s="430"/>
      <c r="G102" s="430"/>
      <c r="H102" s="430"/>
      <c r="I102" s="119"/>
      <c r="J102" s="17"/>
      <c r="K102" s="434" t="s">
        <v>161</v>
      </c>
      <c r="L102" s="436"/>
      <c r="M102" s="430"/>
      <c r="N102" s="430"/>
      <c r="O102" s="430"/>
      <c r="P102" s="221"/>
      <c r="Q102" s="221"/>
      <c r="R102" s="86"/>
      <c r="S102" s="17"/>
      <c r="T102" s="17"/>
      <c r="U102" s="17"/>
      <c r="V102" s="17"/>
      <c r="W102" s="17"/>
      <c r="X102" s="17"/>
      <c r="Y102" s="497"/>
      <c r="Z102" s="497"/>
      <c r="AA102" s="22"/>
      <c r="AB102" s="22"/>
      <c r="AC102" s="19"/>
    </row>
    <row r="103" spans="1:29" ht="8.25" customHeight="1" x14ac:dyDescent="0.25">
      <c r="A103" s="16"/>
      <c r="B103" s="22"/>
      <c r="C103" s="23"/>
      <c r="D103" s="17"/>
      <c r="E103" s="17"/>
      <c r="F103" s="17"/>
      <c r="G103" s="17"/>
      <c r="H103" s="17"/>
      <c r="I103" s="17"/>
      <c r="J103" s="17"/>
      <c r="K103" s="51"/>
      <c r="L103" s="51"/>
      <c r="M103" s="17"/>
      <c r="N103" s="217"/>
      <c r="O103" s="217"/>
      <c r="P103" s="217"/>
      <c r="Q103" s="217"/>
      <c r="R103" s="221"/>
      <c r="S103" s="221"/>
      <c r="T103" s="221"/>
      <c r="U103" s="221"/>
      <c r="V103" s="221"/>
      <c r="W103" s="221"/>
      <c r="X103" s="221"/>
      <c r="Y103" s="497"/>
      <c r="Z103" s="497"/>
      <c r="AA103" s="22"/>
      <c r="AB103" s="22"/>
      <c r="AC103" s="19"/>
    </row>
    <row r="104" spans="1:29" ht="15.75" x14ac:dyDescent="0.25">
      <c r="A104" s="16"/>
      <c r="B104" s="423" t="str">
        <f>IF(AND((OR(B100="x",B100="X")),NOT(OR(B73="x",B73="X"))),"You must enroll in dependents' life insurance in order to add optional life insurance","")</f>
        <v/>
      </c>
      <c r="C104" s="23"/>
      <c r="D104" s="17"/>
      <c r="E104" s="17"/>
      <c r="F104" s="17"/>
      <c r="G104" s="17"/>
      <c r="H104" s="17"/>
      <c r="I104" s="17"/>
      <c r="J104" s="17"/>
      <c r="K104" s="51"/>
      <c r="L104" s="51"/>
      <c r="M104" s="17"/>
      <c r="N104" s="217"/>
      <c r="O104" s="217"/>
      <c r="P104" s="217"/>
      <c r="Q104" s="217"/>
      <c r="R104" s="221"/>
      <c r="S104" s="221"/>
      <c r="T104" s="221"/>
      <c r="U104" s="221"/>
      <c r="V104" s="221"/>
      <c r="W104" s="221"/>
      <c r="X104" s="221"/>
      <c r="Y104" s="497"/>
      <c r="Z104" s="497"/>
      <c r="AA104" s="22"/>
      <c r="AB104" s="22"/>
      <c r="AC104" s="19"/>
    </row>
    <row r="105" spans="1:29" ht="15.75" x14ac:dyDescent="0.25">
      <c r="A105" s="16"/>
      <c r="B105" s="17"/>
      <c r="C105" s="17"/>
      <c r="D105" s="17"/>
      <c r="E105" s="17"/>
      <c r="F105" s="17"/>
      <c r="G105" s="17"/>
      <c r="H105" s="17"/>
      <c r="I105" s="17"/>
      <c r="J105" s="17"/>
      <c r="K105" s="21"/>
      <c r="L105" s="21"/>
      <c r="M105" s="85"/>
      <c r="N105" s="217"/>
      <c r="O105" s="217"/>
      <c r="P105" s="217"/>
      <c r="Q105" s="217"/>
      <c r="R105" s="221"/>
      <c r="S105" s="221"/>
      <c r="T105" s="221"/>
      <c r="U105" s="221"/>
      <c r="V105" s="221"/>
      <c r="W105" s="221"/>
      <c r="X105" s="221"/>
      <c r="Y105" s="497"/>
      <c r="Z105" s="497"/>
      <c r="AA105" s="22"/>
      <c r="AB105" s="22"/>
      <c r="AC105" s="19"/>
    </row>
    <row r="106" spans="1:29" ht="15.75" thickBot="1" x14ac:dyDescent="0.3">
      <c r="A106" s="16"/>
      <c r="B106" s="22"/>
      <c r="C106" s="23"/>
      <c r="D106" s="17"/>
      <c r="E106" s="17"/>
      <c r="F106" s="17"/>
      <c r="G106" s="17"/>
      <c r="H106" s="17"/>
      <c r="I106" s="17"/>
      <c r="J106" s="17"/>
      <c r="K106" s="51"/>
      <c r="L106" s="51"/>
      <c r="M106" s="17"/>
      <c r="N106" s="17"/>
      <c r="O106" s="17"/>
      <c r="P106" s="17"/>
      <c r="Q106" s="17"/>
      <c r="R106" s="431" t="s">
        <v>333</v>
      </c>
      <c r="S106" s="431"/>
      <c r="T106" s="431"/>
      <c r="U106" s="431"/>
      <c r="V106" s="431"/>
      <c r="W106" s="431"/>
      <c r="X106" s="431"/>
      <c r="Y106" s="22"/>
      <c r="Z106" s="22"/>
      <c r="AA106" s="22"/>
      <c r="AB106" s="22"/>
      <c r="AC106" s="19"/>
    </row>
    <row r="107" spans="1:29" ht="30.75" customHeight="1" thickBot="1" x14ac:dyDescent="0.3">
      <c r="A107" s="16"/>
      <c r="B107" s="433" t="s">
        <v>166</v>
      </c>
      <c r="C107" s="433"/>
      <c r="D107" s="433"/>
      <c r="E107" s="433"/>
      <c r="F107" s="433"/>
      <c r="G107" s="17"/>
      <c r="H107" s="17"/>
      <c r="I107" s="119"/>
      <c r="J107" s="17"/>
      <c r="K107" s="434" t="s">
        <v>162</v>
      </c>
      <c r="L107" s="436"/>
      <c r="M107" s="430" t="str">
        <f>IF(COUNTBLANK(I107:I109)&lt;2,"You can't choose more than one answer",IF(COUNTBLANK(I107:I109)=3,"You have to choose an answer",""))</f>
        <v>You have to choose an answer</v>
      </c>
      <c r="N107" s="430"/>
      <c r="O107" s="430"/>
      <c r="P107" s="221"/>
      <c r="Q107" s="221"/>
      <c r="R107" s="85"/>
      <c r="S107" s="22"/>
      <c r="T107" s="281"/>
      <c r="U107" s="494" t="s">
        <v>335</v>
      </c>
      <c r="V107" s="495"/>
      <c r="W107" s="496"/>
      <c r="X107" s="212">
        <f>IF(OR(T107=1,T107=2,T107=3,T107=4,T107=5,T107=6,T107=7,T107=8,T107=9,T107=10),T107*25000,0)</f>
        <v>0</v>
      </c>
      <c r="Y107" s="22"/>
      <c r="Z107" s="18"/>
      <c r="AA107" s="23" t="s">
        <v>324</v>
      </c>
      <c r="AB107" s="225">
        <f>IF(AND(F100="",M100="",M107="",Y100="",B110=""),ROUND(Y97/1000*V97,2),0)</f>
        <v>0</v>
      </c>
      <c r="AC107" s="19"/>
    </row>
    <row r="108" spans="1:29" ht="4.5" customHeight="1" thickBot="1" x14ac:dyDescent="0.3">
      <c r="A108" s="16"/>
      <c r="B108" s="87"/>
      <c r="C108" s="87"/>
      <c r="D108" s="87"/>
      <c r="E108" s="87"/>
      <c r="F108" s="87"/>
      <c r="G108" s="87"/>
      <c r="H108" s="17"/>
      <c r="I108" s="207"/>
      <c r="J108" s="17"/>
      <c r="K108" s="21"/>
      <c r="L108" s="21"/>
      <c r="M108" s="430"/>
      <c r="N108" s="430"/>
      <c r="O108" s="430"/>
      <c r="P108" s="221"/>
      <c r="Q108" s="221"/>
      <c r="R108" s="86"/>
      <c r="S108" s="17"/>
      <c r="T108" s="52"/>
      <c r="U108" s="52"/>
      <c r="V108" s="17"/>
      <c r="W108" s="17"/>
      <c r="X108" s="17"/>
      <c r="Y108" s="22"/>
      <c r="Z108" s="17"/>
      <c r="AA108" s="17"/>
      <c r="AB108" s="22"/>
      <c r="AC108" s="19"/>
    </row>
    <row r="109" spans="1:29" ht="23.25" customHeight="1" thickBot="1" x14ac:dyDescent="0.3">
      <c r="A109" s="16"/>
      <c r="B109" s="282"/>
      <c r="C109" s="237" t="s">
        <v>163</v>
      </c>
      <c r="D109" s="283"/>
      <c r="E109" s="204"/>
      <c r="F109" s="211"/>
      <c r="G109" s="87"/>
      <c r="H109" s="17"/>
      <c r="I109" s="119"/>
      <c r="J109" s="17"/>
      <c r="K109" s="434" t="s">
        <v>164</v>
      </c>
      <c r="L109" s="436"/>
      <c r="M109" s="430"/>
      <c r="N109" s="430"/>
      <c r="O109" s="430"/>
      <c r="P109" s="221"/>
      <c r="Q109" s="221"/>
      <c r="R109" s="86"/>
      <c r="S109" s="17"/>
      <c r="T109" s="52"/>
      <c r="U109" s="52"/>
      <c r="V109" s="17"/>
      <c r="W109" s="17"/>
      <c r="X109" s="17"/>
      <c r="Y109" s="22"/>
      <c r="Z109" s="22"/>
      <c r="AA109" s="23" t="s">
        <v>325</v>
      </c>
      <c r="AB109" s="225">
        <f>AB107*26</f>
        <v>0</v>
      </c>
      <c r="AC109" s="19"/>
    </row>
    <row r="110" spans="1:29" ht="21" customHeight="1" x14ac:dyDescent="0.25">
      <c r="A110" s="16"/>
      <c r="B110" s="455" t="str">
        <f>IF(B109&gt;=70,"Optional Life Insurance is no longer available after age 70.","")</f>
        <v/>
      </c>
      <c r="C110" s="455"/>
      <c r="D110" s="455"/>
      <c r="E110" s="455"/>
      <c r="F110" s="455"/>
      <c r="G110" s="455"/>
      <c r="H110" s="455"/>
      <c r="I110" s="455"/>
      <c r="J110" s="455"/>
      <c r="K110" s="455"/>
      <c r="L110" s="455"/>
      <c r="M110" s="455"/>
      <c r="N110" s="455"/>
      <c r="O110" s="455"/>
      <c r="P110" s="455"/>
      <c r="Q110" s="455"/>
      <c r="R110" s="455"/>
      <c r="S110" s="455"/>
      <c r="T110" s="455"/>
      <c r="U110" s="455"/>
      <c r="V110" s="52"/>
      <c r="W110" s="17"/>
      <c r="X110" s="17"/>
      <c r="Y110" s="17"/>
      <c r="Z110" s="22"/>
      <c r="AA110" s="23"/>
      <c r="AB110" s="339" t="str">
        <f xml:space="preserve"> IF(AB107&gt;0,"This cost takes into account a 50 % premium reduction but does not include the 9 % sales tax","")</f>
        <v/>
      </c>
      <c r="AC110" s="19"/>
    </row>
    <row r="111" spans="1:29" ht="1.5" customHeight="1" x14ac:dyDescent="0.25">
      <c r="A111" s="54"/>
      <c r="B111" s="113"/>
      <c r="C111" s="113"/>
      <c r="D111" s="113"/>
      <c r="E111" s="113"/>
      <c r="F111" s="113"/>
      <c r="G111" s="113"/>
      <c r="H111" s="113"/>
      <c r="I111" s="113"/>
      <c r="J111" s="113"/>
      <c r="K111" s="113"/>
      <c r="L111" s="113"/>
      <c r="M111" s="94"/>
      <c r="N111" s="94"/>
      <c r="O111" s="94"/>
      <c r="P111" s="94"/>
      <c r="Q111" s="94"/>
      <c r="R111" s="95"/>
      <c r="S111" s="456"/>
      <c r="T111" s="456"/>
      <c r="U111" s="456"/>
      <c r="V111" s="456"/>
      <c r="W111" s="456"/>
      <c r="X111" s="456"/>
      <c r="Y111" s="96"/>
      <c r="Z111" s="56"/>
      <c r="AA111" s="97"/>
      <c r="AB111" s="98"/>
      <c r="AC111" s="99"/>
    </row>
    <row r="112" spans="1:29" ht="30" customHeight="1" thickBot="1" x14ac:dyDescent="0.3">
      <c r="A112" s="25"/>
      <c r="B112" s="100" t="s">
        <v>167</v>
      </c>
      <c r="C112" s="100"/>
      <c r="D112" s="27"/>
      <c r="E112" s="27"/>
      <c r="F112" s="27"/>
      <c r="G112" s="27"/>
      <c r="H112" s="27"/>
      <c r="I112" s="27"/>
      <c r="J112" s="484" t="s">
        <v>315</v>
      </c>
      <c r="K112" s="485"/>
      <c r="L112" s="485"/>
      <c r="M112" s="485"/>
      <c r="N112" s="485"/>
      <c r="O112" s="485"/>
      <c r="P112" s="485"/>
      <c r="Q112" s="485"/>
      <c r="R112" s="485"/>
      <c r="S112" s="485"/>
      <c r="T112" s="485"/>
      <c r="U112" s="485"/>
      <c r="V112" s="485"/>
      <c r="W112" s="485"/>
      <c r="X112" s="486"/>
      <c r="Y112" s="28"/>
      <c r="Z112" s="28"/>
      <c r="AA112" s="28"/>
      <c r="AB112" s="218"/>
      <c r="AC112" s="29"/>
    </row>
    <row r="113" spans="1:31" ht="21.75" customHeight="1" thickBot="1" x14ac:dyDescent="0.3">
      <c r="A113" s="30"/>
      <c r="B113" s="102"/>
      <c r="C113" s="102"/>
      <c r="D113" s="33"/>
      <c r="E113" s="33"/>
      <c r="F113" s="33"/>
      <c r="G113" s="33"/>
      <c r="H113" s="33"/>
      <c r="I113" s="33"/>
      <c r="J113" s="487"/>
      <c r="K113" s="488"/>
      <c r="L113" s="488"/>
      <c r="M113" s="488"/>
      <c r="N113" s="488"/>
      <c r="O113" s="488"/>
      <c r="P113" s="488"/>
      <c r="Q113" s="488"/>
      <c r="R113" s="488"/>
      <c r="S113" s="488"/>
      <c r="T113" s="488"/>
      <c r="U113" s="488"/>
      <c r="V113" s="488"/>
      <c r="W113" s="488"/>
      <c r="X113" s="489"/>
      <c r="Y113" s="34"/>
      <c r="Z113" s="34"/>
      <c r="AA113" s="40" t="s">
        <v>324</v>
      </c>
      <c r="AB113" s="279">
        <f>AB107+AB90+AB73+AB65+AB49+AB36+AB23+AB11</f>
        <v>0</v>
      </c>
      <c r="AC113" s="35"/>
    </row>
    <row r="114" spans="1:31" ht="21.75" customHeight="1" thickBot="1" x14ac:dyDescent="0.3">
      <c r="A114" s="30"/>
      <c r="B114" s="33"/>
      <c r="C114" s="33"/>
      <c r="D114" s="33"/>
      <c r="E114" s="33"/>
      <c r="F114" s="33"/>
      <c r="G114" s="104"/>
      <c r="H114" s="104"/>
      <c r="I114" s="33"/>
      <c r="J114" s="490"/>
      <c r="K114" s="491"/>
      <c r="L114" s="491"/>
      <c r="M114" s="491"/>
      <c r="N114" s="491"/>
      <c r="O114" s="491"/>
      <c r="P114" s="491"/>
      <c r="Q114" s="491"/>
      <c r="R114" s="491"/>
      <c r="S114" s="491"/>
      <c r="T114" s="491"/>
      <c r="U114" s="491"/>
      <c r="V114" s="491"/>
      <c r="W114" s="491"/>
      <c r="X114" s="492"/>
      <c r="Y114" s="34"/>
      <c r="Z114" s="34"/>
      <c r="AA114" s="40" t="s">
        <v>352</v>
      </c>
      <c r="AB114" s="279">
        <f>ROUND(AB113*0.09,2)</f>
        <v>0</v>
      </c>
      <c r="AC114" s="35"/>
      <c r="AE114" s="105"/>
    </row>
    <row r="115" spans="1:31" ht="21.75" customHeight="1" thickBot="1" x14ac:dyDescent="0.3">
      <c r="A115" s="30"/>
      <c r="B115" s="33"/>
      <c r="C115" s="33"/>
      <c r="D115" s="33"/>
      <c r="E115" s="33"/>
      <c r="F115" s="33"/>
      <c r="G115" s="104"/>
      <c r="H115" s="104"/>
      <c r="I115" s="33"/>
      <c r="J115" s="33"/>
      <c r="K115" s="33"/>
      <c r="L115" s="33"/>
      <c r="M115" s="33"/>
      <c r="N115" s="33"/>
      <c r="O115" s="33"/>
      <c r="P115" s="33"/>
      <c r="Q115" s="33"/>
      <c r="R115" s="33"/>
      <c r="S115" s="33"/>
      <c r="T115" s="33"/>
      <c r="U115" s="33"/>
      <c r="V115" s="33"/>
      <c r="W115" s="33"/>
      <c r="X115" s="33"/>
      <c r="Y115" s="34"/>
      <c r="Z115" s="34"/>
      <c r="AA115" s="40" t="s">
        <v>326</v>
      </c>
      <c r="AB115" s="279">
        <f>AB113+AB114</f>
        <v>0</v>
      </c>
      <c r="AC115" s="35"/>
      <c r="AE115" s="105"/>
    </row>
    <row r="116" spans="1:31" ht="30" customHeight="1" thickBot="1" x14ac:dyDescent="0.3">
      <c r="A116" s="30"/>
      <c r="B116" s="33"/>
      <c r="C116" s="33"/>
      <c r="D116" s="33"/>
      <c r="E116" s="33"/>
      <c r="F116" s="33"/>
      <c r="G116" s="104"/>
      <c r="H116" s="104"/>
      <c r="I116" s="33"/>
      <c r="J116" s="33"/>
      <c r="K116" s="33"/>
      <c r="L116" s="33"/>
      <c r="M116" s="33"/>
      <c r="N116" s="33"/>
      <c r="O116" s="33"/>
      <c r="P116" s="33"/>
      <c r="Q116" s="33"/>
      <c r="R116" s="33"/>
      <c r="S116" s="33"/>
      <c r="T116" s="33"/>
      <c r="U116" s="33"/>
      <c r="V116" s="33"/>
      <c r="W116" s="33"/>
      <c r="X116" s="33"/>
      <c r="Y116" s="34"/>
      <c r="Z116" s="34"/>
      <c r="AA116" s="34"/>
      <c r="AB116" s="219"/>
      <c r="AC116" s="35"/>
      <c r="AE116" s="105"/>
    </row>
    <row r="117" spans="1:31" ht="21.75" customHeight="1" thickBot="1" x14ac:dyDescent="0.3">
      <c r="A117" s="30"/>
      <c r="B117" s="33"/>
      <c r="C117" s="33"/>
      <c r="D117" s="33"/>
      <c r="E117" s="33"/>
      <c r="F117" s="33"/>
      <c r="G117" s="104"/>
      <c r="H117" s="104"/>
      <c r="I117" s="33"/>
      <c r="J117" s="33"/>
      <c r="K117" s="33"/>
      <c r="L117" s="33"/>
      <c r="M117" s="33"/>
      <c r="N117" s="33"/>
      <c r="O117" s="33"/>
      <c r="P117" s="33"/>
      <c r="Q117" s="33"/>
      <c r="R117" s="33"/>
      <c r="S117" s="33"/>
      <c r="T117" s="33"/>
      <c r="U117" s="33"/>
      <c r="V117" s="33"/>
      <c r="W117" s="33"/>
      <c r="X117" s="33"/>
      <c r="Y117" s="34"/>
      <c r="Z117" s="34"/>
      <c r="AA117" s="106" t="s">
        <v>327</v>
      </c>
      <c r="AB117" s="278">
        <v>0</v>
      </c>
      <c r="AC117" s="107"/>
      <c r="AE117" s="105"/>
    </row>
    <row r="118" spans="1:31" ht="17.25" customHeight="1" thickBot="1" x14ac:dyDescent="0.3">
      <c r="A118" s="30"/>
      <c r="B118" s="33"/>
      <c r="C118" s="33"/>
      <c r="D118" s="33"/>
      <c r="E118" s="33"/>
      <c r="F118" s="33"/>
      <c r="G118" s="104"/>
      <c r="H118" s="104"/>
      <c r="I118" s="33"/>
      <c r="J118" s="33"/>
      <c r="K118" s="33"/>
      <c r="L118" s="33"/>
      <c r="M118" s="33"/>
      <c r="N118" s="33"/>
      <c r="O118" s="33"/>
      <c r="P118" s="33"/>
      <c r="Q118" s="33"/>
      <c r="R118" s="33"/>
      <c r="S118" s="33"/>
      <c r="T118" s="33"/>
      <c r="U118" s="33"/>
      <c r="V118" s="33"/>
      <c r="W118" s="33"/>
      <c r="X118" s="33"/>
      <c r="Y118" s="34"/>
      <c r="Z118" s="34"/>
      <c r="AA118" s="108" t="s">
        <v>356</v>
      </c>
      <c r="AB118" s="219"/>
      <c r="AC118" s="35"/>
      <c r="AE118" s="105"/>
    </row>
    <row r="119" spans="1:31" ht="21.75" customHeight="1" thickBot="1" x14ac:dyDescent="0.3">
      <c r="A119" s="30"/>
      <c r="B119" s="33"/>
      <c r="C119" s="33"/>
      <c r="D119" s="33"/>
      <c r="E119" s="33"/>
      <c r="F119" s="33"/>
      <c r="G119" s="104"/>
      <c r="H119" s="104"/>
      <c r="I119" s="33"/>
      <c r="J119" s="33"/>
      <c r="K119" s="33"/>
      <c r="L119" s="33"/>
      <c r="M119" s="33"/>
      <c r="N119" s="33"/>
      <c r="O119" s="33"/>
      <c r="P119" s="33"/>
      <c r="Q119" s="33"/>
      <c r="R119" s="33"/>
      <c r="S119" s="33"/>
      <c r="T119" s="33"/>
      <c r="U119" s="33"/>
      <c r="V119" s="33"/>
      <c r="W119" s="33"/>
      <c r="X119" s="33"/>
      <c r="Y119" s="34"/>
      <c r="Z119" s="34"/>
      <c r="AA119" s="109" t="s">
        <v>351</v>
      </c>
      <c r="AB119" s="277">
        <f>AB115-AB117</f>
        <v>0</v>
      </c>
      <c r="AC119" s="35"/>
    </row>
    <row r="120" spans="1:31" ht="3.75" customHeight="1" thickBot="1" x14ac:dyDescent="0.3">
      <c r="A120" s="30"/>
      <c r="B120" s="33"/>
      <c r="C120" s="33"/>
      <c r="D120" s="33"/>
      <c r="E120" s="33"/>
      <c r="F120" s="33"/>
      <c r="G120" s="104"/>
      <c r="H120" s="104"/>
      <c r="I120" s="33"/>
      <c r="J120" s="33"/>
      <c r="K120" s="33"/>
      <c r="L120" s="33"/>
      <c r="M120" s="33"/>
      <c r="N120" s="33"/>
      <c r="O120" s="33"/>
      <c r="P120" s="33"/>
      <c r="Q120" s="33"/>
      <c r="R120" s="33"/>
      <c r="S120" s="33"/>
      <c r="T120" s="33"/>
      <c r="U120" s="33"/>
      <c r="V120" s="33"/>
      <c r="W120" s="33"/>
      <c r="X120" s="33"/>
      <c r="Y120" s="34"/>
      <c r="Z120" s="34"/>
      <c r="AA120" s="34"/>
      <c r="AB120" s="210"/>
      <c r="AC120" s="35"/>
    </row>
    <row r="121" spans="1:31" ht="21.75" customHeight="1" thickBot="1" x14ac:dyDescent="0.3">
      <c r="A121" s="30"/>
      <c r="B121" s="33"/>
      <c r="C121" s="33"/>
      <c r="D121" s="33"/>
      <c r="E121" s="33"/>
      <c r="F121" s="33"/>
      <c r="G121" s="33"/>
      <c r="H121" s="33"/>
      <c r="I121" s="33"/>
      <c r="J121" s="33"/>
      <c r="K121" s="33"/>
      <c r="L121" s="33"/>
      <c r="M121" s="33"/>
      <c r="N121" s="33"/>
      <c r="O121" s="33"/>
      <c r="P121" s="33"/>
      <c r="Q121" s="33"/>
      <c r="R121" s="33"/>
      <c r="S121" s="33"/>
      <c r="T121" s="33"/>
      <c r="U121" s="33"/>
      <c r="V121" s="33"/>
      <c r="W121" s="33"/>
      <c r="X121" s="33"/>
      <c r="Y121" s="34"/>
      <c r="Z121" s="34"/>
      <c r="AA121" s="109" t="s">
        <v>350</v>
      </c>
      <c r="AB121" s="277">
        <f>26*AB119</f>
        <v>0</v>
      </c>
      <c r="AC121" s="35"/>
    </row>
    <row r="122" spans="1:31" x14ac:dyDescent="0.25">
      <c r="A122" s="44"/>
      <c r="B122" s="45"/>
      <c r="C122" s="45"/>
      <c r="D122" s="45"/>
      <c r="E122" s="45"/>
      <c r="F122" s="45"/>
      <c r="G122" s="45"/>
      <c r="H122" s="45"/>
      <c r="I122" s="45"/>
      <c r="J122" s="45"/>
      <c r="K122" s="45"/>
      <c r="L122" s="45"/>
      <c r="M122" s="45"/>
      <c r="N122" s="45"/>
      <c r="O122" s="45"/>
      <c r="P122" s="45"/>
      <c r="Q122" s="45"/>
      <c r="R122" s="45"/>
      <c r="S122" s="45"/>
      <c r="T122" s="45"/>
      <c r="U122" s="45"/>
      <c r="V122" s="45"/>
      <c r="W122" s="45"/>
      <c r="X122" s="45"/>
      <c r="Y122" s="46"/>
      <c r="Z122" s="46"/>
      <c r="AA122" s="46"/>
      <c r="AB122" s="46"/>
      <c r="AC122" s="47"/>
    </row>
  </sheetData>
  <sheetProtection sheet="1" selectLockedCells="1"/>
  <protectedRanges>
    <protectedRange password="C3A2" sqref="V60" name="Reponses"/>
  </protectedRanges>
  <mergeCells count="80">
    <mergeCell ref="B110:U110"/>
    <mergeCell ref="U1:X2"/>
    <mergeCell ref="B1:B2"/>
    <mergeCell ref="D1:T2"/>
    <mergeCell ref="K83:L83"/>
    <mergeCell ref="K85:L85"/>
    <mergeCell ref="D62:E62"/>
    <mergeCell ref="D73:E73"/>
    <mergeCell ref="D83:E83"/>
    <mergeCell ref="D85:E85"/>
    <mergeCell ref="D34:N34"/>
    <mergeCell ref="D49:E49"/>
    <mergeCell ref="K109:L109"/>
    <mergeCell ref="U100:W100"/>
    <mergeCell ref="B93:V93"/>
    <mergeCell ref="F100:H102"/>
    <mergeCell ref="U83:W83"/>
    <mergeCell ref="Y83:Z88"/>
    <mergeCell ref="Y100:Z105"/>
    <mergeCell ref="U90:W90"/>
    <mergeCell ref="R99:X99"/>
    <mergeCell ref="B99:H99"/>
    <mergeCell ref="U107:W107"/>
    <mergeCell ref="M107:O109"/>
    <mergeCell ref="M100:O102"/>
    <mergeCell ref="K102:L102"/>
    <mergeCell ref="K100:L100"/>
    <mergeCell ref="R106:X106"/>
    <mergeCell ref="D102:E102"/>
    <mergeCell ref="D65:K65"/>
    <mergeCell ref="B82:H82"/>
    <mergeCell ref="D36:N36"/>
    <mergeCell ref="D9:L9"/>
    <mergeCell ref="M19:O23"/>
    <mergeCell ref="D47:E47"/>
    <mergeCell ref="D75:E75"/>
    <mergeCell ref="D38:N38"/>
    <mergeCell ref="D40:N40"/>
    <mergeCell ref="D42:N42"/>
    <mergeCell ref="O36:Q43"/>
    <mergeCell ref="D25:M26"/>
    <mergeCell ref="F47:K49"/>
    <mergeCell ref="B52:Q52"/>
    <mergeCell ref="D60:E60"/>
    <mergeCell ref="B50:Q51"/>
    <mergeCell ref="F60:H62"/>
    <mergeCell ref="V7:W13"/>
    <mergeCell ref="W19:AB21"/>
    <mergeCell ref="S19:V19"/>
    <mergeCell ref="S7:U7"/>
    <mergeCell ref="S9:U9"/>
    <mergeCell ref="S11:U11"/>
    <mergeCell ref="S13:U13"/>
    <mergeCell ref="S56:V56"/>
    <mergeCell ref="S58:V58"/>
    <mergeCell ref="B30:N30"/>
    <mergeCell ref="L4:P4"/>
    <mergeCell ref="D21:L21"/>
    <mergeCell ref="D23:L23"/>
    <mergeCell ref="D7:L7"/>
    <mergeCell ref="D19:L19"/>
    <mergeCell ref="D11:L11"/>
    <mergeCell ref="D13:L13"/>
    <mergeCell ref="M7:O13"/>
    <mergeCell ref="J112:X114"/>
    <mergeCell ref="F83:H85"/>
    <mergeCell ref="S94:X94"/>
    <mergeCell ref="T75:V75"/>
    <mergeCell ref="F73:K75"/>
    <mergeCell ref="S111:X111"/>
    <mergeCell ref="B107:F107"/>
    <mergeCell ref="R82:X82"/>
    <mergeCell ref="R88:X88"/>
    <mergeCell ref="B90:F90"/>
    <mergeCell ref="K90:L90"/>
    <mergeCell ref="K107:L107"/>
    <mergeCell ref="M90:O92"/>
    <mergeCell ref="M83:O85"/>
    <mergeCell ref="K92:L92"/>
    <mergeCell ref="D100:E100"/>
  </mergeCells>
  <conditionalFormatting sqref="Q4">
    <cfRule type="expression" dxfId="2" priority="1">
      <formula>"$Q$4=""X"""</formula>
    </cfRule>
    <cfRule type="expression" dxfId="1" priority="2">
      <formula>$I$4&gt;=65</formula>
    </cfRule>
  </conditionalFormatting>
  <conditionalFormatting sqref="U4">
    <cfRule type="expression" dxfId="0" priority="3">
      <formula>$I$4&gt;=65</formula>
    </cfRule>
  </conditionalFormatting>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99"/>
  </sheetPr>
  <dimension ref="A1:T33"/>
  <sheetViews>
    <sheetView zoomScale="85" zoomScaleNormal="85" workbookViewId="0">
      <selection activeCell="I4" sqref="I4"/>
    </sheetView>
  </sheetViews>
  <sheetFormatPr baseColWidth="10" defaultRowHeight="15" x14ac:dyDescent="0.25"/>
  <cols>
    <col min="1" max="1" width="12.28515625" customWidth="1"/>
    <col min="2" max="2" width="15.7109375" customWidth="1"/>
    <col min="6" max="6" width="13.28515625" customWidth="1"/>
    <col min="10" max="10" width="14.140625" customWidth="1"/>
    <col min="11" max="11" width="17.42578125" customWidth="1"/>
    <col min="13" max="13" width="11.5703125" customWidth="1"/>
    <col min="18" max="18" width="39.5703125" customWidth="1"/>
    <col min="19" max="19" width="14.5703125" customWidth="1"/>
    <col min="20" max="20" width="15.140625" customWidth="1"/>
    <col min="22" max="22" width="11.5703125" bestFit="1" customWidth="1"/>
    <col min="23" max="23" width="14.28515625" bestFit="1" customWidth="1"/>
    <col min="24" max="24" width="16" bestFit="1" customWidth="1"/>
    <col min="25" max="25" width="13.28515625" bestFit="1" customWidth="1"/>
    <col min="26" max="26" width="16" bestFit="1" customWidth="1"/>
  </cols>
  <sheetData>
    <row r="1" spans="1:20" ht="18" customHeight="1" x14ac:dyDescent="0.25">
      <c r="A1" s="353" t="s">
        <v>306</v>
      </c>
    </row>
    <row r="2" spans="1:20" ht="18" customHeight="1" x14ac:dyDescent="0.25">
      <c r="A2" s="353"/>
    </row>
    <row r="3" spans="1:20" ht="15.75" thickBot="1" x14ac:dyDescent="0.3">
      <c r="B3" s="1" t="s">
        <v>339</v>
      </c>
    </row>
    <row r="4" spans="1:20" ht="16.5" thickTop="1" thickBot="1" x14ac:dyDescent="0.3">
      <c r="B4" s="3" t="s">
        <v>119</v>
      </c>
      <c r="C4" s="4"/>
      <c r="D4" s="4"/>
      <c r="E4" s="4"/>
      <c r="F4" s="5"/>
      <c r="G4" s="3" t="s">
        <v>120</v>
      </c>
      <c r="H4" s="4"/>
      <c r="I4" s="4"/>
      <c r="J4" s="4"/>
      <c r="K4" s="3" t="s">
        <v>121</v>
      </c>
      <c r="L4" s="354"/>
      <c r="M4" s="352" t="s">
        <v>305</v>
      </c>
      <c r="N4" s="355">
        <v>0.5</v>
      </c>
      <c r="O4" s="4"/>
      <c r="P4" s="4"/>
      <c r="Q4" s="5"/>
      <c r="R4" s="380" t="s">
        <v>122</v>
      </c>
      <c r="S4" s="4"/>
      <c r="T4" s="5"/>
    </row>
    <row r="5" spans="1:20" ht="16.5" thickTop="1" thickBot="1" x14ac:dyDescent="0.3">
      <c r="B5" s="115" t="s">
        <v>272</v>
      </c>
      <c r="C5" s="192" t="s">
        <v>21</v>
      </c>
      <c r="D5" s="144"/>
      <c r="E5" s="145"/>
      <c r="F5" s="7"/>
      <c r="G5" s="6" t="s">
        <v>272</v>
      </c>
      <c r="K5" s="6" t="s">
        <v>94</v>
      </c>
      <c r="L5" s="350">
        <v>5.6800000000000003E-2</v>
      </c>
      <c r="M5" s="351">
        <f>L5*$N$4</f>
        <v>2.8400000000000002E-2</v>
      </c>
      <c r="N5" t="s">
        <v>298</v>
      </c>
      <c r="O5" s="294"/>
      <c r="R5" s="374" t="s">
        <v>124</v>
      </c>
      <c r="S5" s="375">
        <v>0.27700000000000002</v>
      </c>
      <c r="T5" s="7"/>
    </row>
    <row r="6" spans="1:20" ht="16.5" thickTop="1" thickBot="1" x14ac:dyDescent="0.3">
      <c r="B6" s="6"/>
      <c r="C6" s="183" t="s">
        <v>5</v>
      </c>
      <c r="D6" s="184" t="s">
        <v>6</v>
      </c>
      <c r="E6" s="185" t="s">
        <v>7</v>
      </c>
      <c r="F6" s="7"/>
      <c r="G6" s="6"/>
      <c r="H6" s="193" t="s">
        <v>26</v>
      </c>
      <c r="I6" s="194" t="s">
        <v>27</v>
      </c>
      <c r="K6" s="6" t="s">
        <v>95</v>
      </c>
      <c r="L6" s="346">
        <v>1.67</v>
      </c>
      <c r="M6" s="337">
        <f>L6*$N$4</f>
        <v>0.83499999999999996</v>
      </c>
      <c r="N6" t="s">
        <v>303</v>
      </c>
      <c r="R6" s="376" t="s">
        <v>169</v>
      </c>
      <c r="S6" s="377">
        <v>0.59799999999999998</v>
      </c>
      <c r="T6" s="7"/>
    </row>
    <row r="7" spans="1:20" ht="16.5" thickTop="1" thickBot="1" x14ac:dyDescent="0.3">
      <c r="B7" s="116" t="s">
        <v>78</v>
      </c>
      <c r="C7" s="384">
        <v>56.09</v>
      </c>
      <c r="D7" s="385">
        <v>77.900000000000006</v>
      </c>
      <c r="E7" s="386">
        <v>95.82</v>
      </c>
      <c r="F7" s="7"/>
      <c r="G7" s="116" t="s">
        <v>12</v>
      </c>
      <c r="H7" s="384">
        <v>12.4</v>
      </c>
      <c r="I7" s="386">
        <v>16.5</v>
      </c>
      <c r="K7" s="6" t="s">
        <v>299</v>
      </c>
      <c r="L7" s="347">
        <v>0.59</v>
      </c>
      <c r="M7" s="361">
        <f>L7*$N$4</f>
        <v>0.29499999999999998</v>
      </c>
      <c r="N7" t="s">
        <v>298</v>
      </c>
      <c r="P7" s="372" t="s">
        <v>283</v>
      </c>
      <c r="R7" s="376" t="s">
        <v>295</v>
      </c>
      <c r="S7" s="377">
        <v>0.56499999999999995</v>
      </c>
      <c r="T7" s="7"/>
    </row>
    <row r="8" spans="1:20" ht="15.75" thickTop="1" x14ac:dyDescent="0.25">
      <c r="B8" s="116" t="s">
        <v>79</v>
      </c>
      <c r="C8" s="387">
        <v>86.94</v>
      </c>
      <c r="D8" s="388">
        <v>120.74</v>
      </c>
      <c r="E8" s="389">
        <v>148.51</v>
      </c>
      <c r="F8" s="7"/>
      <c r="G8" s="116" t="s">
        <v>13</v>
      </c>
      <c r="H8" s="387">
        <v>23.57</v>
      </c>
      <c r="I8" s="389">
        <v>31.35</v>
      </c>
      <c r="K8" s="6"/>
      <c r="L8" s="371" t="s">
        <v>283</v>
      </c>
      <c r="M8" s="500" t="s">
        <v>40</v>
      </c>
      <c r="N8" s="501"/>
      <c r="O8" s="501" t="s">
        <v>41</v>
      </c>
      <c r="P8" s="502"/>
      <c r="R8" s="376" t="s">
        <v>307</v>
      </c>
      <c r="S8" s="377">
        <v>0.112</v>
      </c>
      <c r="T8" s="7"/>
    </row>
    <row r="9" spans="1:20" ht="15.75" thickBot="1" x14ac:dyDescent="0.3">
      <c r="B9" s="116" t="s">
        <v>80</v>
      </c>
      <c r="C9" s="387">
        <v>138.54</v>
      </c>
      <c r="D9" s="388">
        <v>192.41</v>
      </c>
      <c r="E9" s="389">
        <v>236.67</v>
      </c>
      <c r="F9" s="7"/>
      <c r="G9" s="116" t="s">
        <v>14</v>
      </c>
      <c r="H9" s="387">
        <v>31.26</v>
      </c>
      <c r="I9" s="389">
        <v>41.58</v>
      </c>
      <c r="K9" s="6"/>
      <c r="L9" t="s">
        <v>46</v>
      </c>
      <c r="M9" s="362" t="s">
        <v>43</v>
      </c>
      <c r="N9" s="191" t="s">
        <v>44</v>
      </c>
      <c r="O9" s="191" t="s">
        <v>47</v>
      </c>
      <c r="P9" s="363" t="s">
        <v>48</v>
      </c>
      <c r="R9" s="376" t="s">
        <v>300</v>
      </c>
      <c r="S9" s="377">
        <v>0.46400000000000002</v>
      </c>
      <c r="T9" s="7"/>
    </row>
    <row r="10" spans="1:20" ht="16.5" thickTop="1" thickBot="1" x14ac:dyDescent="0.3">
      <c r="B10" s="116" t="s">
        <v>11</v>
      </c>
      <c r="C10" s="390">
        <v>129</v>
      </c>
      <c r="D10" s="391">
        <v>179.17</v>
      </c>
      <c r="E10" s="392">
        <v>220.38</v>
      </c>
      <c r="F10" s="7"/>
      <c r="G10" s="116" t="s">
        <v>11</v>
      </c>
      <c r="H10" s="390">
        <v>28.53</v>
      </c>
      <c r="I10" s="392">
        <v>37.950000000000003</v>
      </c>
      <c r="K10" s="6"/>
      <c r="L10" t="s">
        <v>49</v>
      </c>
      <c r="M10" s="364">
        <v>8.9999999999999993E-3</v>
      </c>
      <c r="N10" s="163">
        <v>1.2999999999999999E-2</v>
      </c>
      <c r="O10" s="163">
        <v>5.0000000000000001E-3</v>
      </c>
      <c r="P10" s="365">
        <v>6.0000000000000001E-3</v>
      </c>
      <c r="R10" s="378" t="s">
        <v>30</v>
      </c>
      <c r="S10" s="379">
        <v>0</v>
      </c>
      <c r="T10" s="8"/>
    </row>
    <row r="11" spans="1:20" ht="15.75" thickTop="1" x14ac:dyDescent="0.25">
      <c r="B11" s="6"/>
      <c r="C11" s="393" t="s">
        <v>15</v>
      </c>
      <c r="D11" s="394"/>
      <c r="E11" s="395"/>
      <c r="F11" s="7"/>
      <c r="G11" s="11"/>
      <c r="H11" s="117"/>
      <c r="I11" s="117"/>
      <c r="J11" s="117"/>
      <c r="K11" s="6"/>
      <c r="L11" t="s">
        <v>50</v>
      </c>
      <c r="M11" s="364">
        <v>8.9999999999999993E-3</v>
      </c>
      <c r="N11" s="164">
        <v>1.2999999999999999E-2</v>
      </c>
      <c r="O11" s="164">
        <v>5.0000000000000001E-3</v>
      </c>
      <c r="P11" s="366">
        <v>6.0000000000000001E-3</v>
      </c>
      <c r="Q11" s="7"/>
    </row>
    <row r="12" spans="1:20" ht="15.75" thickBot="1" x14ac:dyDescent="0.3">
      <c r="B12" s="6"/>
      <c r="C12" s="396" t="s">
        <v>5</v>
      </c>
      <c r="D12" s="397" t="s">
        <v>6</v>
      </c>
      <c r="E12" s="398" t="s">
        <v>7</v>
      </c>
      <c r="F12" s="7"/>
      <c r="K12" s="6"/>
      <c r="L12" t="s">
        <v>51</v>
      </c>
      <c r="M12" s="364">
        <v>8.9999999999999993E-3</v>
      </c>
      <c r="N12" s="164">
        <v>1.2999999999999999E-2</v>
      </c>
      <c r="O12" s="164">
        <v>5.0000000000000001E-3</v>
      </c>
      <c r="P12" s="366">
        <v>6.0000000000000001E-3</v>
      </c>
    </row>
    <row r="13" spans="1:20" ht="15.75" thickTop="1" x14ac:dyDescent="0.25">
      <c r="B13" s="116" t="s">
        <v>78</v>
      </c>
      <c r="C13" s="384">
        <v>20.27</v>
      </c>
      <c r="D13" s="385">
        <v>28.96</v>
      </c>
      <c r="E13" s="386">
        <v>35.619999999999997</v>
      </c>
      <c r="F13" s="7"/>
      <c r="I13" s="320"/>
      <c r="K13" s="6"/>
      <c r="L13" t="s">
        <v>52</v>
      </c>
      <c r="M13" s="367">
        <v>1.2E-2</v>
      </c>
      <c r="N13" s="164">
        <v>1.4999999999999999E-2</v>
      </c>
      <c r="O13" s="164">
        <v>6.0000000000000001E-3</v>
      </c>
      <c r="P13" s="366">
        <v>7.0000000000000001E-3</v>
      </c>
      <c r="Q13" s="7"/>
      <c r="R13" s="3"/>
      <c r="S13" s="4"/>
      <c r="T13" s="5"/>
    </row>
    <row r="14" spans="1:20" ht="15.75" thickBot="1" x14ac:dyDescent="0.3">
      <c r="B14" s="116" t="s">
        <v>79</v>
      </c>
      <c r="C14" s="387">
        <v>35.479999999999997</v>
      </c>
      <c r="D14" s="388">
        <v>50.68</v>
      </c>
      <c r="E14" s="389">
        <v>62.34</v>
      </c>
      <c r="F14" s="7"/>
      <c r="K14" s="6"/>
      <c r="L14" t="s">
        <v>53</v>
      </c>
      <c r="M14" s="367">
        <v>1.7000000000000001E-2</v>
      </c>
      <c r="N14" s="164">
        <v>2.5000000000000001E-2</v>
      </c>
      <c r="O14" s="164">
        <v>8.9999999999999993E-3</v>
      </c>
      <c r="P14" s="366">
        <v>1.2999999999999999E-2</v>
      </c>
      <c r="Q14" s="7"/>
      <c r="R14" s="118" t="s">
        <v>123</v>
      </c>
      <c r="T14" s="7"/>
    </row>
    <row r="15" spans="1:20" ht="16.5" thickTop="1" thickBot="1" x14ac:dyDescent="0.3">
      <c r="B15" s="116" t="s">
        <v>80</v>
      </c>
      <c r="C15" s="387">
        <v>54.74</v>
      </c>
      <c r="D15" s="388">
        <v>78.19</v>
      </c>
      <c r="E15" s="389">
        <v>96.18</v>
      </c>
      <c r="F15" s="7"/>
      <c r="K15" s="6"/>
      <c r="L15" t="s">
        <v>54</v>
      </c>
      <c r="M15" s="367">
        <v>2.8000000000000001E-2</v>
      </c>
      <c r="N15" s="164">
        <v>0.04</v>
      </c>
      <c r="O15" s="164">
        <v>1.2999999999999999E-2</v>
      </c>
      <c r="P15" s="366">
        <v>1.9E-2</v>
      </c>
      <c r="Q15" s="7"/>
      <c r="R15" s="6"/>
      <c r="S15" s="360">
        <v>0.40500000000000003</v>
      </c>
      <c r="T15" s="7"/>
    </row>
    <row r="16" spans="1:20" ht="16.5" thickTop="1" thickBot="1" x14ac:dyDescent="0.3">
      <c r="A16" s="294"/>
      <c r="B16" s="116" t="s">
        <v>11</v>
      </c>
      <c r="C16" s="390">
        <v>46.63</v>
      </c>
      <c r="D16" s="391">
        <v>66.61</v>
      </c>
      <c r="E16" s="392">
        <v>81.93</v>
      </c>
      <c r="F16" s="7"/>
      <c r="K16" s="6"/>
      <c r="L16" t="s">
        <v>55</v>
      </c>
      <c r="M16" s="367">
        <v>4.2000000000000003E-2</v>
      </c>
      <c r="N16" s="164">
        <v>6.3E-2</v>
      </c>
      <c r="O16" s="164">
        <v>2.4E-2</v>
      </c>
      <c r="P16" s="366">
        <v>2.9000000000000001E-2</v>
      </c>
      <c r="Q16" s="7"/>
      <c r="R16" s="11"/>
      <c r="S16" s="117"/>
      <c r="T16" s="8"/>
    </row>
    <row r="17" spans="1:17" ht="15.75" thickTop="1" x14ac:dyDescent="0.25">
      <c r="A17" s="294"/>
      <c r="B17" s="6"/>
      <c r="C17" s="192" t="s">
        <v>16</v>
      </c>
      <c r="D17" s="144"/>
      <c r="E17" s="145"/>
      <c r="F17" s="7"/>
      <c r="K17" s="6"/>
      <c r="L17" t="s">
        <v>56</v>
      </c>
      <c r="M17" s="367">
        <v>6.7000000000000004E-2</v>
      </c>
      <c r="N17" s="164">
        <v>0.104</v>
      </c>
      <c r="O17" s="164">
        <v>3.5999999999999997E-2</v>
      </c>
      <c r="P17" s="366">
        <v>5.7000000000000002E-2</v>
      </c>
      <c r="Q17" s="7"/>
    </row>
    <row r="18" spans="1:17" ht="15.75" thickBot="1" x14ac:dyDescent="0.3">
      <c r="A18" s="294"/>
      <c r="B18" s="6"/>
      <c r="C18" s="183" t="s">
        <v>5</v>
      </c>
      <c r="D18" s="184" t="s">
        <v>6</v>
      </c>
      <c r="E18" s="185" t="s">
        <v>7</v>
      </c>
      <c r="F18" s="7"/>
      <c r="K18" s="6"/>
      <c r="L18" t="s">
        <v>57</v>
      </c>
      <c r="M18" s="367">
        <v>0.113</v>
      </c>
      <c r="N18" s="164">
        <v>0.16400000000000001</v>
      </c>
      <c r="O18" s="164">
        <v>5.6000000000000001E-2</v>
      </c>
      <c r="P18" s="366">
        <v>8.4000000000000005E-2</v>
      </c>
      <c r="Q18" s="7"/>
    </row>
    <row r="19" spans="1:17" ht="16.5" thickTop="1" thickBot="1" x14ac:dyDescent="0.3">
      <c r="A19" s="294"/>
      <c r="B19" s="116" t="s">
        <v>78</v>
      </c>
      <c r="C19" s="358">
        <v>137.56</v>
      </c>
      <c r="D19" s="356">
        <f>$C$19</f>
        <v>137.56</v>
      </c>
      <c r="E19" s="286">
        <f>$C$19</f>
        <v>137.56</v>
      </c>
      <c r="F19" s="7"/>
      <c r="K19" s="6"/>
      <c r="L19" t="s">
        <v>58</v>
      </c>
      <c r="M19" s="368">
        <v>0.156</v>
      </c>
      <c r="N19" s="369">
        <v>0.255</v>
      </c>
      <c r="O19" s="369">
        <v>8.7999999999999995E-2</v>
      </c>
      <c r="P19" s="370">
        <v>0.13100000000000001</v>
      </c>
      <c r="Q19" s="7"/>
    </row>
    <row r="20" spans="1:17" ht="15.75" thickTop="1" x14ac:dyDescent="0.25">
      <c r="B20" s="116" t="s">
        <v>79</v>
      </c>
      <c r="C20" s="333">
        <f>C19</f>
        <v>137.56</v>
      </c>
      <c r="D20" s="287">
        <f>$C$20</f>
        <v>137.56</v>
      </c>
      <c r="E20" s="288">
        <f>$C$20</f>
        <v>137.56</v>
      </c>
      <c r="F20" s="7"/>
      <c r="K20" s="11"/>
      <c r="L20" s="117"/>
      <c r="M20" s="400" t="s">
        <v>310</v>
      </c>
      <c r="N20" s="373"/>
      <c r="O20" s="373"/>
      <c r="P20" s="373"/>
      <c r="Q20" s="8"/>
    </row>
    <row r="21" spans="1:17" x14ac:dyDescent="0.25">
      <c r="B21" s="116" t="s">
        <v>80</v>
      </c>
      <c r="C21" s="359">
        <v>275.14</v>
      </c>
      <c r="D21" s="287">
        <f>$C$21</f>
        <v>275.14</v>
      </c>
      <c r="E21" s="288">
        <f>$C$21</f>
        <v>275.14</v>
      </c>
      <c r="F21" s="7"/>
    </row>
    <row r="22" spans="1:17" ht="15.75" thickBot="1" x14ac:dyDescent="0.3">
      <c r="B22" s="116" t="s">
        <v>11</v>
      </c>
      <c r="C22" s="332">
        <f>C21</f>
        <v>275.14</v>
      </c>
      <c r="D22" s="289">
        <f>$C$22</f>
        <v>275.14</v>
      </c>
      <c r="E22" s="290">
        <f>$C$22</f>
        <v>275.14</v>
      </c>
      <c r="F22" s="7"/>
      <c r="K22" s="331"/>
      <c r="N22" s="331"/>
      <c r="Q22" s="334"/>
    </row>
    <row r="23" spans="1:17" ht="15.75" thickTop="1" x14ac:dyDescent="0.25">
      <c r="B23" s="11"/>
      <c r="C23" s="117"/>
      <c r="D23" s="117"/>
      <c r="E23" s="117"/>
      <c r="F23" s="8"/>
    </row>
    <row r="28" spans="1:17" ht="18.75" x14ac:dyDescent="0.3">
      <c r="B28" s="412" t="s">
        <v>281</v>
      </c>
    </row>
    <row r="29" spans="1:17" x14ac:dyDescent="0.25">
      <c r="B29" s="291"/>
      <c r="C29" t="s">
        <v>278</v>
      </c>
    </row>
    <row r="30" spans="1:17" x14ac:dyDescent="0.25">
      <c r="B30" s="292"/>
      <c r="C30" t="s">
        <v>279</v>
      </c>
    </row>
    <row r="31" spans="1:17" x14ac:dyDescent="0.25">
      <c r="B31" s="293"/>
      <c r="C31" t="s">
        <v>280</v>
      </c>
    </row>
    <row r="33" spans="2:2" ht="18.75" x14ac:dyDescent="0.3">
      <c r="B33" s="411" t="s">
        <v>340</v>
      </c>
    </row>
  </sheetData>
  <mergeCells count="2">
    <mergeCell ref="M8:N8"/>
    <mergeCell ref="O8:P8"/>
  </mergeCells>
  <pageMargins left="0.7" right="0.7" top="0.75" bottom="0.75" header="0.3" footer="0.3"/>
  <pageSetup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2">
    <tabColor rgb="FF92D050"/>
  </sheetPr>
  <dimension ref="A1:X111"/>
  <sheetViews>
    <sheetView topLeftCell="C1" zoomScale="85" zoomScaleNormal="85" workbookViewId="0">
      <selection activeCell="I4" sqref="I4"/>
    </sheetView>
  </sheetViews>
  <sheetFormatPr baseColWidth="10" defaultRowHeight="15" x14ac:dyDescent="0.25"/>
  <cols>
    <col min="2" max="2" width="45.7109375" customWidth="1"/>
    <col min="3" max="3" width="21" customWidth="1"/>
    <col min="4" max="4" width="18.42578125" customWidth="1"/>
    <col min="5" max="5" width="5" customWidth="1"/>
    <col min="6" max="6" width="15.5703125" customWidth="1"/>
    <col min="7" max="9" width="13.85546875" customWidth="1"/>
    <col min="11" max="11" width="11.140625" customWidth="1"/>
    <col min="12" max="12" width="13.28515625" customWidth="1"/>
    <col min="14" max="14" width="13" customWidth="1"/>
    <col min="16" max="16" width="15.140625" customWidth="1"/>
    <col min="17" max="17" width="13.7109375" customWidth="1"/>
    <col min="19" max="19" width="12.7109375" customWidth="1"/>
    <col min="20" max="20" width="15.7109375" customWidth="1"/>
    <col min="22" max="22" width="13" bestFit="1" customWidth="1"/>
    <col min="23" max="23" width="15.28515625" customWidth="1"/>
  </cols>
  <sheetData>
    <row r="1" spans="1:22" ht="15.75" thickBot="1" x14ac:dyDescent="0.3">
      <c r="A1" s="353" t="s">
        <v>306</v>
      </c>
    </row>
    <row r="2" spans="1:22" ht="16.5" thickTop="1" thickBot="1" x14ac:dyDescent="0.3">
      <c r="B2" s="1" t="s">
        <v>9</v>
      </c>
      <c r="C2" s="1" t="s">
        <v>74</v>
      </c>
      <c r="D2" s="1" t="s">
        <v>17</v>
      </c>
      <c r="E2" s="1"/>
      <c r="F2" s="1" t="s">
        <v>272</v>
      </c>
      <c r="G2" s="188" t="s">
        <v>21</v>
      </c>
      <c r="H2" s="189"/>
      <c r="I2" s="190"/>
      <c r="L2" s="1" t="s">
        <v>25</v>
      </c>
      <c r="O2" t="s">
        <v>272</v>
      </c>
    </row>
    <row r="3" spans="1:22" ht="16.5" thickTop="1" thickBot="1" x14ac:dyDescent="0.3">
      <c r="B3" t="s">
        <v>75</v>
      </c>
      <c r="C3" t="s">
        <v>78</v>
      </c>
      <c r="D3" t="s">
        <v>18</v>
      </c>
      <c r="G3" s="408" t="s">
        <v>5</v>
      </c>
      <c r="H3" s="409" t="s">
        <v>6</v>
      </c>
      <c r="I3" s="410" t="s">
        <v>7</v>
      </c>
      <c r="L3" t="s">
        <v>28</v>
      </c>
      <c r="P3" s="186" t="s">
        <v>26</v>
      </c>
      <c r="Q3" s="187" t="s">
        <v>27</v>
      </c>
    </row>
    <row r="4" spans="1:22" ht="16.5" thickTop="1" thickBot="1" x14ac:dyDescent="0.3">
      <c r="B4" t="s">
        <v>76</v>
      </c>
      <c r="C4" t="s">
        <v>79</v>
      </c>
      <c r="D4" t="s">
        <v>19</v>
      </c>
      <c r="F4" s="2" t="s">
        <v>78</v>
      </c>
      <c r="G4" s="129">
        <f>'Nouveau taux'!C7</f>
        <v>56.09</v>
      </c>
      <c r="H4" s="128">
        <f>'Nouveau taux'!D7</f>
        <v>77.900000000000006</v>
      </c>
      <c r="I4" s="130">
        <f>'Nouveau taux'!E7</f>
        <v>95.82</v>
      </c>
      <c r="L4" t="s">
        <v>86</v>
      </c>
      <c r="O4" s="2" t="s">
        <v>12</v>
      </c>
      <c r="P4" s="134">
        <f>'Nouveau taux'!H7</f>
        <v>12.4</v>
      </c>
      <c r="Q4" s="134">
        <f>'Nouveau taux'!I7</f>
        <v>16.5</v>
      </c>
    </row>
    <row r="5" spans="1:22" ht="16.5" thickTop="1" thickBot="1" x14ac:dyDescent="0.3">
      <c r="B5" t="s">
        <v>77</v>
      </c>
      <c r="C5" t="s">
        <v>80</v>
      </c>
      <c r="D5" t="s">
        <v>20</v>
      </c>
      <c r="F5" s="2" t="s">
        <v>79</v>
      </c>
      <c r="G5" s="129">
        <f>'Nouveau taux'!C8</f>
        <v>86.94</v>
      </c>
      <c r="H5" s="128">
        <f>'Nouveau taux'!D8</f>
        <v>120.74</v>
      </c>
      <c r="I5" s="130">
        <f>'Nouveau taux'!E8</f>
        <v>148.51</v>
      </c>
      <c r="L5" t="s">
        <v>87</v>
      </c>
      <c r="O5" s="2" t="s">
        <v>13</v>
      </c>
      <c r="P5" s="134">
        <f>'Nouveau taux'!H8</f>
        <v>23.57</v>
      </c>
      <c r="Q5" s="134">
        <f>'Nouveau taux'!I8</f>
        <v>31.35</v>
      </c>
    </row>
    <row r="6" spans="1:22" ht="16.5" thickTop="1" thickBot="1" x14ac:dyDescent="0.3">
      <c r="B6" t="s">
        <v>8</v>
      </c>
      <c r="C6" t="s">
        <v>11</v>
      </c>
      <c r="D6" s="310">
        <f>Calculateur!I4</f>
        <v>0</v>
      </c>
      <c r="E6" t="s">
        <v>291</v>
      </c>
      <c r="F6" s="2" t="s">
        <v>80</v>
      </c>
      <c r="G6" s="129">
        <f>'Nouveau taux'!C9</f>
        <v>138.54</v>
      </c>
      <c r="H6" s="128">
        <f>'Nouveau taux'!D9</f>
        <v>192.41</v>
      </c>
      <c r="I6" s="130">
        <f>'Nouveau taux'!E9</f>
        <v>236.67</v>
      </c>
      <c r="O6" s="2" t="s">
        <v>14</v>
      </c>
      <c r="P6" s="134">
        <f>'Nouveau taux'!H9</f>
        <v>31.26</v>
      </c>
      <c r="Q6" s="134">
        <f>'Nouveau taux'!I9</f>
        <v>41.58</v>
      </c>
    </row>
    <row r="7" spans="1:22" ht="15.75" thickTop="1" x14ac:dyDescent="0.25">
      <c r="F7" s="2" t="s">
        <v>11</v>
      </c>
      <c r="G7" s="129">
        <f>'Nouveau taux'!C10</f>
        <v>129</v>
      </c>
      <c r="H7" s="128">
        <f>'Nouveau taux'!D10</f>
        <v>179.17</v>
      </c>
      <c r="I7" s="130">
        <f>'Nouveau taux'!E10</f>
        <v>220.38</v>
      </c>
      <c r="O7" s="2" t="s">
        <v>11</v>
      </c>
      <c r="P7" s="134">
        <f>'Nouveau taux'!H10</f>
        <v>28.53</v>
      </c>
      <c r="Q7" s="134">
        <f>'Nouveau taux'!I10</f>
        <v>37.950000000000003</v>
      </c>
    </row>
    <row r="8" spans="1:22" ht="15.75" thickBot="1" x14ac:dyDescent="0.3">
      <c r="B8" t="s">
        <v>10</v>
      </c>
      <c r="C8" t="s">
        <v>10</v>
      </c>
      <c r="D8" t="s">
        <v>10</v>
      </c>
      <c r="G8" s="272" t="s">
        <v>21</v>
      </c>
      <c r="H8" s="293"/>
      <c r="I8" s="273"/>
      <c r="L8" t="s">
        <v>10</v>
      </c>
    </row>
    <row r="9" spans="1:22" ht="16.5" thickTop="1" thickBot="1" x14ac:dyDescent="0.3">
      <c r="B9" s="143" t="str">
        <f>IF(OR(Calculateur!B9="X",Calculateur!B9="x"),B3,IF(OR(Calculateur!B11="X",Calculateur!B11="x"),B4,IF(OR(Calculateur!B13="X",Calculateur!B13="x"),B5,B6)))</f>
        <v>Je suis couvert par l'assurance de mon conjoint</v>
      </c>
      <c r="C9" s="143" t="str">
        <f>IF(OR(Calculateur!Q9="X",Calculateur!Q9="x"),C3,IF(OR(Calculateur!Q11="X",Calculateur!Q11="x"),C4,IF(OR(Calculateur!Q13="X",Calculateur!Q13="x"),C5,IF(OR(Calculateur!Q15="X",Calculateur!Q15="x"),C6,""))))</f>
        <v/>
      </c>
      <c r="D9" s="143" t="str">
        <f>IF(D6&lt;65,Taux!D3,IF(AND(D6&gt;=65,OR(Calculateur!Q4="x",Calculateur!Q4="X")),Taux!D4,Taux!D5))</f>
        <v>Adhérent de moins de 65 ans</v>
      </c>
      <c r="E9" s="142"/>
      <c r="F9" s="141"/>
      <c r="G9" s="408" t="s">
        <v>5</v>
      </c>
      <c r="H9" s="409" t="s">
        <v>6</v>
      </c>
      <c r="I9" s="410" t="s">
        <v>7</v>
      </c>
      <c r="L9" s="155" t="str">
        <f>IF(OR(Calculateur!B19="X",Calculateur!B19="x"),L3,IF(OR(Calculateur!B21="X",Calculateur!B21="x"),L4,IF(OR(Calculateur!B23="X",Calculateur!B23="x"),L5,"")))</f>
        <v/>
      </c>
      <c r="M9" s="142"/>
      <c r="N9" s="141"/>
    </row>
    <row r="10" spans="1:22" ht="16.5" thickTop="1" thickBot="1" x14ac:dyDescent="0.3">
      <c r="F10" s="2" t="s">
        <v>78</v>
      </c>
      <c r="G10" s="129">
        <f>'Nouveau taux'!C13</f>
        <v>20.27</v>
      </c>
      <c r="H10" s="128">
        <f>'Nouveau taux'!D13</f>
        <v>28.96</v>
      </c>
      <c r="I10" s="130">
        <f>'Nouveau taux'!E13</f>
        <v>35.619999999999997</v>
      </c>
      <c r="L10" t="s">
        <v>29</v>
      </c>
      <c r="O10" s="2" t="s">
        <v>276</v>
      </c>
    </row>
    <row r="11" spans="1:22" ht="16.5" thickTop="1" thickBot="1" x14ac:dyDescent="0.3">
      <c r="F11" s="2" t="s">
        <v>79</v>
      </c>
      <c r="G11" s="129">
        <f>'Nouveau taux'!C14</f>
        <v>35.479999999999997</v>
      </c>
      <c r="H11" s="128">
        <f>'Nouveau taux'!D14</f>
        <v>50.68</v>
      </c>
      <c r="I11" s="130">
        <f>'Nouveau taux'!E14</f>
        <v>62.34</v>
      </c>
      <c r="L11" s="135" t="b">
        <v>1</v>
      </c>
      <c r="O11" s="156">
        <f>IF(OR(L9=L3,L12=TRUE),0,IF(L9=L4,IF(C9=C3,P4,IF(C9=C4,P5,IF(C9=C5,P6,P7))),IF(AND(L9=L5,L11=TRUE),IF(C9=C3,Q4,IF(C9=C4,Q5,IF(C9=C5,Q6,Q7))),0)))</f>
        <v>0</v>
      </c>
    </row>
    <row r="12" spans="1:22" ht="16.5" thickTop="1" thickBot="1" x14ac:dyDescent="0.3">
      <c r="F12" s="2" t="s">
        <v>80</v>
      </c>
      <c r="G12" s="129">
        <f>'Nouveau taux'!C15</f>
        <v>54.74</v>
      </c>
      <c r="H12" s="128">
        <f>'Nouveau taux'!D15</f>
        <v>78.19</v>
      </c>
      <c r="I12" s="130">
        <f>'Nouveau taux'!E15</f>
        <v>96.18</v>
      </c>
      <c r="L12" s="136" t="b">
        <v>0</v>
      </c>
    </row>
    <row r="13" spans="1:22" ht="15.75" thickTop="1" x14ac:dyDescent="0.25">
      <c r="F13" s="2" t="s">
        <v>11</v>
      </c>
      <c r="G13" s="129">
        <f>'Nouveau taux'!C16</f>
        <v>46.63</v>
      </c>
      <c r="H13" s="128">
        <f>'Nouveau taux'!D16</f>
        <v>66.61</v>
      </c>
      <c r="I13" s="130">
        <f>'Nouveau taux'!E16</f>
        <v>81.93</v>
      </c>
    </row>
    <row r="14" spans="1:22" ht="15.75" thickBot="1" x14ac:dyDescent="0.3">
      <c r="G14" s="272" t="s">
        <v>16</v>
      </c>
      <c r="H14" s="293"/>
      <c r="I14" s="273"/>
      <c r="L14" s="1" t="s">
        <v>35</v>
      </c>
      <c r="P14" t="s">
        <v>82</v>
      </c>
      <c r="R14" t="s">
        <v>36</v>
      </c>
    </row>
    <row r="15" spans="1:22" ht="16.5" thickTop="1" thickBot="1" x14ac:dyDescent="0.3">
      <c r="G15" s="408" t="s">
        <v>5</v>
      </c>
      <c r="H15" s="409" t="s">
        <v>6</v>
      </c>
      <c r="I15" s="410" t="s">
        <v>7</v>
      </c>
      <c r="L15" t="s">
        <v>32</v>
      </c>
      <c r="N15" t="s">
        <v>70</v>
      </c>
      <c r="P15" t="s">
        <v>94</v>
      </c>
      <c r="Q15" s="138">
        <f>'Nouveau taux'!M5</f>
        <v>2.8400000000000002E-2</v>
      </c>
      <c r="R15" s="336" t="s">
        <v>91</v>
      </c>
    </row>
    <row r="16" spans="1:22" ht="15.75" thickTop="1" x14ac:dyDescent="0.25">
      <c r="B16" s="146">
        <f>G10+G16</f>
        <v>157.83000000000001</v>
      </c>
      <c r="C16" s="147">
        <f t="shared" ref="C16:D19" si="0">H10+H16</f>
        <v>166.52</v>
      </c>
      <c r="D16" s="148">
        <f t="shared" si="0"/>
        <v>173.18</v>
      </c>
      <c r="F16" s="2" t="s">
        <v>78</v>
      </c>
      <c r="G16" s="129">
        <f>'Nouveau taux'!C19</f>
        <v>137.56</v>
      </c>
      <c r="H16" s="128">
        <f>'Nouveau taux'!D19</f>
        <v>137.56</v>
      </c>
      <c r="I16" s="130">
        <f>'Nouveau taux'!E19</f>
        <v>137.56</v>
      </c>
      <c r="L16" t="s">
        <v>33</v>
      </c>
      <c r="N16" s="111" t="s">
        <v>117</v>
      </c>
      <c r="P16" t="s">
        <v>95</v>
      </c>
      <c r="Q16" s="139">
        <f>'Nouveau taux'!M6</f>
        <v>0.83499999999999996</v>
      </c>
      <c r="R16" s="336" t="s">
        <v>92</v>
      </c>
      <c r="T16" s="349" t="s">
        <v>304</v>
      </c>
      <c r="U16" s="336"/>
      <c r="V16" s="336"/>
    </row>
    <row r="17" spans="2:24" ht="15.75" thickBot="1" x14ac:dyDescent="0.3">
      <c r="B17" s="149">
        <f t="shared" ref="B17:B19" si="1">G11+G17</f>
        <v>173.04</v>
      </c>
      <c r="C17" s="150">
        <f t="shared" si="0"/>
        <v>188.24</v>
      </c>
      <c r="D17" s="151">
        <f t="shared" si="0"/>
        <v>199.9</v>
      </c>
      <c r="F17" s="2" t="s">
        <v>79</v>
      </c>
      <c r="G17" s="129">
        <f>'Nouveau taux'!C20</f>
        <v>137.56</v>
      </c>
      <c r="H17" s="128">
        <f>'Nouveau taux'!D20</f>
        <v>137.56</v>
      </c>
      <c r="I17" s="130">
        <f>'Nouveau taux'!E20</f>
        <v>137.56</v>
      </c>
      <c r="L17" t="s">
        <v>10</v>
      </c>
      <c r="N17" t="s">
        <v>118</v>
      </c>
      <c r="P17" t="s">
        <v>309</v>
      </c>
      <c r="Q17" s="348">
        <f>1000*ROUNDDOWN(Calculateur!V61/1000,0)+IF(VALUE(RIGHT(Calculateur!V61,3))&lt;250,0,IF(VALUE(RIGHT(Calculateur!V61,3))&lt;750,500,1000))</f>
        <v>0</v>
      </c>
      <c r="R17" s="336" t="s">
        <v>93</v>
      </c>
      <c r="T17" s="111"/>
    </row>
    <row r="18" spans="2:24" ht="16.5" thickTop="1" thickBot="1" x14ac:dyDescent="0.3">
      <c r="B18" s="149">
        <f t="shared" si="1"/>
        <v>329.88</v>
      </c>
      <c r="C18" s="150">
        <f t="shared" si="0"/>
        <v>353.33</v>
      </c>
      <c r="D18" s="151">
        <f t="shared" si="0"/>
        <v>371.32</v>
      </c>
      <c r="F18" s="2" t="s">
        <v>80</v>
      </c>
      <c r="G18" s="129">
        <f>'Nouveau taux'!C21</f>
        <v>275.14</v>
      </c>
      <c r="H18" s="128">
        <f>'Nouveau taux'!D21</f>
        <v>275.14</v>
      </c>
      <c r="I18" s="130">
        <f>'Nouveau taux'!E21</f>
        <v>275.14</v>
      </c>
      <c r="L18" s="143">
        <f>IF(OR(Calculateur!B61="X",Calculateur!B61="x"),L15,IF(OR(Calculateur!B63="X",Calculateur!B63="x"),L16,0))</f>
        <v>0</v>
      </c>
      <c r="N18" t="s">
        <v>115</v>
      </c>
      <c r="P18" t="s">
        <v>69</v>
      </c>
      <c r="Q18" s="165">
        <f>IF(L18=L15,IF(N21="Une fois le salaire annuel",MAX(75000,Q17),IF(N21="Deux fois le salaire annuel",MAX(75000,2*Q17),IF(N21="La moitié du salaire annuel",MAX(37500,0.5*Q17),IF(N21="10 000$",10000,)))),0)</f>
        <v>0</v>
      </c>
      <c r="R18" s="336" t="s">
        <v>10</v>
      </c>
    </row>
    <row r="19" spans="2:24" ht="16.5" thickTop="1" thickBot="1" x14ac:dyDescent="0.3">
      <c r="B19" s="152">
        <f t="shared" si="1"/>
        <v>321.77</v>
      </c>
      <c r="C19" s="153">
        <f t="shared" si="0"/>
        <v>341.75</v>
      </c>
      <c r="D19" s="154">
        <f t="shared" si="0"/>
        <v>357.07</v>
      </c>
      <c r="F19" s="2" t="s">
        <v>11</v>
      </c>
      <c r="G19" s="131">
        <f>'Nouveau taux'!C22</f>
        <v>275.14</v>
      </c>
      <c r="H19" s="132">
        <f>'Nouveau taux'!D22</f>
        <v>275.14</v>
      </c>
      <c r="I19" s="133">
        <f>'Nouveau taux'!E22</f>
        <v>275.14</v>
      </c>
      <c r="L19" t="s">
        <v>34</v>
      </c>
      <c r="N19" t="s">
        <v>116</v>
      </c>
      <c r="P19" t="s">
        <v>84</v>
      </c>
      <c r="R19" s="155" t="str">
        <f>IF(D6&lt;65,Taux!R15,IF(D6&gt;=70,Taux!R17,Taux!R16))</f>
        <v>Moins de 65 ans</v>
      </c>
      <c r="S19" s="141"/>
    </row>
    <row r="20" spans="2:24" ht="16.5" thickTop="1" thickBot="1" x14ac:dyDescent="0.3">
      <c r="L20" s="143">
        <f>IF(L18=L15,Q15,0)</f>
        <v>0</v>
      </c>
      <c r="N20" t="s">
        <v>68</v>
      </c>
    </row>
    <row r="21" spans="2:24" ht="16.5" thickTop="1" thickBot="1" x14ac:dyDescent="0.3">
      <c r="F21" s="2" t="s">
        <v>276</v>
      </c>
      <c r="L21" t="s">
        <v>96</v>
      </c>
      <c r="M21" s="156">
        <f>IF(L18=L16,0,ROUND(Q15*Q18/1000,2)+Q16)</f>
        <v>0.83499999999999996</v>
      </c>
      <c r="N21" s="155" t="str">
        <f>IF(AND(ISBLANK(Calculateur!Q57),ISBLANK(Calculateur!Q59)),"",IF(OR(Calculateur!Q57="X",Calculateur!Q57="x"),Calculateur!S57,Calculateur!S59))</f>
        <v/>
      </c>
      <c r="O21" s="141"/>
    </row>
    <row r="22" spans="2:24" ht="16.5" thickTop="1" thickBot="1" x14ac:dyDescent="0.3">
      <c r="F22" s="156">
        <f>IF(B9=B3,IF(C9=C3,IF(D9=D3,G4,IF(D9=D4,G10,G10+G16)),IF(C9=C4,IF(D9=D3,G5,IF(D9=D4,G11,G11+G17)),IF(C9=C5,IF(D9=D3,G6,IF(D9=D4,G12,G12+G18)),IF(D9=D3,G7,IF(D9=D4,G13,G13+G19))))),IF(B9=B4,IF(C9=C3,IF(D9=D3,H4,IF(D9=D4,H10,H10+H16)),IF(C9=C4,IF(D9=D3,H5,IF(D9=D4,H11,H11+H17)),IF(C9=C5,IF(D9=D3,H6,IF(D9=D4,H12,H12+H18)),IF(D9=D3,H7,IF(D9=D4,H13,H13+H19))))),IF(B9=B5,IF(C9=C3,IF(D9=D3,I4,IF(D9=D4,I10,I10+I16)),IF(C9=C4,IF(D9=D3,I5,IF(D9=D4,I11,I11+I17)),IF(C9=C5,IF(D9=D3,I6,IF(D9=D4,I12,I12+I18)),IF(D9=D3,I7,IF(D9=D4,I13,I13+I19))))),0)))</f>
        <v>0</v>
      </c>
    </row>
    <row r="23" spans="2:24" ht="16.5" thickTop="1" thickBot="1" x14ac:dyDescent="0.3">
      <c r="F23" s="2" t="s">
        <v>277</v>
      </c>
    </row>
    <row r="24" spans="2:24" ht="16.5" thickTop="1" thickBot="1" x14ac:dyDescent="0.3">
      <c r="F24" s="159">
        <f>26*F22</f>
        <v>0</v>
      </c>
      <c r="L24" s="1" t="s">
        <v>61</v>
      </c>
      <c r="P24" t="s">
        <v>82</v>
      </c>
    </row>
    <row r="25" spans="2:24" ht="16.5" thickTop="1" thickBot="1" x14ac:dyDescent="0.3">
      <c r="L25" t="s">
        <v>32</v>
      </c>
      <c r="P25" s="160">
        <f>'Nouveau taux'!M7</f>
        <v>0.29499999999999998</v>
      </c>
    </row>
    <row r="26" spans="2:24" ht="16.5" thickTop="1" thickBot="1" x14ac:dyDescent="0.3">
      <c r="F26" t="s">
        <v>23</v>
      </c>
      <c r="G26" t="s">
        <v>24</v>
      </c>
      <c r="I26" s="1" t="s">
        <v>2</v>
      </c>
      <c r="L26" t="s">
        <v>33</v>
      </c>
    </row>
    <row r="27" spans="2:24" ht="16.5" thickTop="1" thickBot="1" x14ac:dyDescent="0.3">
      <c r="F27" s="140">
        <f>IF(OR(Calculateur!B43="X",Calculateur!B43="x"),Calculateur!D43,IF(OR(Calculateur!B35="X",Calculateur!B35="x"),Calculateur!D35,IF(OR(Calculateur!B37="X",Calculateur!B37="x"),Calculateur!D37,IF(OR(Calculateur!B39="X",Calculateur!B39="x"),Calculateur!D39,IF(OR(Calculateur!B41="X",Calculateur!B41="x"),Calculateur!D41,0)))))</f>
        <v>0</v>
      </c>
      <c r="G27" s="182">
        <f>IF(Calculateur!O37="",VLOOKUP(F27,Taux_courte,2,FALSE),0)</f>
        <v>0</v>
      </c>
      <c r="I27" t="s">
        <v>31</v>
      </c>
      <c r="K27" t="s">
        <v>82</v>
      </c>
      <c r="L27" t="s">
        <v>10</v>
      </c>
    </row>
    <row r="28" spans="2:24" ht="16.5" thickTop="1" thickBot="1" x14ac:dyDescent="0.3">
      <c r="I28" t="s">
        <v>32</v>
      </c>
      <c r="K28" s="161">
        <f>'Nouveau taux'!S15</f>
        <v>0.40500000000000003</v>
      </c>
      <c r="L28" s="137" t="str">
        <f>IF(OR(Calculateur!B74="X",Calculateur!B74="x"),L25,L26)</f>
        <v>Non</v>
      </c>
    </row>
    <row r="29" spans="2:24" ht="16.5" thickTop="1" thickBot="1" x14ac:dyDescent="0.3">
      <c r="I29" t="s">
        <v>33</v>
      </c>
      <c r="L29" t="s">
        <v>276</v>
      </c>
    </row>
    <row r="30" spans="2:24" ht="16.5" thickTop="1" thickBot="1" x14ac:dyDescent="0.3">
      <c r="B30" s="413" t="s">
        <v>1</v>
      </c>
      <c r="C30" s="413" t="s">
        <v>81</v>
      </c>
      <c r="I30" t="s">
        <v>10</v>
      </c>
      <c r="L30" s="160">
        <f>IF(AND(L28=L25,L18=L15),P25,0)</f>
        <v>0</v>
      </c>
    </row>
    <row r="31" spans="2:24" ht="16.5" thickTop="1" thickBot="1" x14ac:dyDescent="0.3">
      <c r="B31" s="414" t="s">
        <v>124</v>
      </c>
      <c r="C31" s="415">
        <f>_xlfn.IFNA(VLOOKUP(B31,'Nouveau taux'!$R$5:$S$10,2,FALSE),"Ajuster tableau dans TAUX")</f>
        <v>0.27700000000000002</v>
      </c>
      <c r="D31" t="s">
        <v>297</v>
      </c>
      <c r="I31" s="137">
        <f>IF(OR(Calculateur!B48="X",Calculateur!B48="x"),Calculateur!D48,IF(OR(Calculateur!B50="X",Calculateur!B50="x"),Calculateur!D50,0))</f>
        <v>0</v>
      </c>
      <c r="X31" t="b">
        <f>IF(R19=R16,N21=N18,FALSE)</f>
        <v>0</v>
      </c>
    </row>
    <row r="32" spans="2:24" ht="15.75" thickBot="1" x14ac:dyDescent="0.3">
      <c r="B32" s="414" t="s">
        <v>169</v>
      </c>
      <c r="C32" s="415">
        <f>_xlfn.IFNA(VLOOKUP(B32,'Nouveau taux'!$R$5:$S$10,2,FALSE),"Ajuster tableau dans TAUX")</f>
        <v>0.59799999999999998</v>
      </c>
      <c r="E32" s="2"/>
      <c r="I32" t="s">
        <v>34</v>
      </c>
      <c r="L32" t="s">
        <v>99</v>
      </c>
    </row>
    <row r="33" spans="2:23" ht="16.5" thickTop="1" thickBot="1" x14ac:dyDescent="0.3">
      <c r="B33" s="414" t="s">
        <v>295</v>
      </c>
      <c r="C33" s="415">
        <f>_xlfn.IFNA(VLOOKUP(B33,'Nouveau taux'!$R$5:$S$10,2,FALSE),"Ajuster tableau dans TAUX")</f>
        <v>0.56499999999999995</v>
      </c>
      <c r="E33" s="2"/>
      <c r="I33" s="160">
        <f>IF(I31=I28,K28,0)</f>
        <v>0</v>
      </c>
      <c r="L33" t="s">
        <v>98</v>
      </c>
    </row>
    <row r="34" spans="2:23" ht="15.75" thickBot="1" x14ac:dyDescent="0.3">
      <c r="B34" s="414" t="s">
        <v>307</v>
      </c>
      <c r="C34" s="415">
        <f>_xlfn.IFNA(VLOOKUP(B34,'Nouveau taux'!$R$5:$S$10,2,FALSE),"Ajuster tableau dans TAUX")</f>
        <v>0.112</v>
      </c>
      <c r="E34" s="2"/>
      <c r="L34" t="s">
        <v>288</v>
      </c>
    </row>
    <row r="35" spans="2:23" ht="15.75" thickBot="1" x14ac:dyDescent="0.3">
      <c r="B35" s="414" t="s">
        <v>300</v>
      </c>
      <c r="C35" s="415">
        <f>_xlfn.IFNA(VLOOKUP(B35,'Nouveau taux'!$R$5:$S$10,2,FALSE),"Ajuster tableau dans TAUX")</f>
        <v>0.46400000000000002</v>
      </c>
      <c r="L35" s="1" t="s">
        <v>38</v>
      </c>
      <c r="P35" t="s">
        <v>45</v>
      </c>
      <c r="V35" t="s">
        <v>59</v>
      </c>
    </row>
    <row r="36" spans="2:23" ht="15.75" thickBot="1" x14ac:dyDescent="0.3">
      <c r="B36" s="416" t="s">
        <v>30</v>
      </c>
      <c r="C36" s="415">
        <f>_xlfn.IFNA(VLOOKUP(B36,'Nouveau taux'!$R$5:$S$10,2,FALSE),"Ajuster tableau dans TAUX")</f>
        <v>0</v>
      </c>
      <c r="L36" s="1" t="s">
        <v>64</v>
      </c>
      <c r="N36" s="1" t="s">
        <v>65</v>
      </c>
      <c r="Q36" s="503" t="s">
        <v>40</v>
      </c>
      <c r="R36" s="504"/>
      <c r="S36" s="504" t="s">
        <v>41</v>
      </c>
      <c r="T36" s="505"/>
      <c r="V36" s="9">
        <v>0</v>
      </c>
      <c r="W36" s="9">
        <v>0</v>
      </c>
    </row>
    <row r="37" spans="2:23" ht="16.5" thickTop="1" thickBot="1" x14ac:dyDescent="0.3">
      <c r="B37" s="322"/>
      <c r="L37" t="s">
        <v>32</v>
      </c>
      <c r="N37" t="s">
        <v>32</v>
      </c>
      <c r="P37" t="s">
        <v>46</v>
      </c>
      <c r="Q37" s="401" t="s">
        <v>43</v>
      </c>
      <c r="R37" s="184" t="s">
        <v>44</v>
      </c>
      <c r="S37" s="184" t="s">
        <v>47</v>
      </c>
      <c r="T37" s="402" t="s">
        <v>48</v>
      </c>
      <c r="V37" s="168">
        <v>20000</v>
      </c>
      <c r="W37" s="169">
        <v>25000</v>
      </c>
    </row>
    <row r="38" spans="2:23" ht="15.75" thickTop="1" x14ac:dyDescent="0.25">
      <c r="L38" t="s">
        <v>33</v>
      </c>
      <c r="N38" t="s">
        <v>33</v>
      </c>
      <c r="P38" t="s">
        <v>49</v>
      </c>
      <c r="Q38" s="403">
        <f>'Nouveau taux'!M10</f>
        <v>8.9999999999999993E-3</v>
      </c>
      <c r="R38" s="162">
        <f>'Nouveau taux'!N10</f>
        <v>1.2999999999999999E-2</v>
      </c>
      <c r="S38" s="162">
        <f>'Nouveau taux'!O10</f>
        <v>5.0000000000000001E-3</v>
      </c>
      <c r="T38" s="404">
        <f>'Nouveau taux'!P10</f>
        <v>6.0000000000000001E-3</v>
      </c>
      <c r="V38" s="170">
        <f>V37+20000</f>
        <v>40000</v>
      </c>
      <c r="W38" s="171">
        <f>W37+25000</f>
        <v>50000</v>
      </c>
    </row>
    <row r="39" spans="2:23" ht="15.75" thickBot="1" x14ac:dyDescent="0.3">
      <c r="L39" t="s">
        <v>10</v>
      </c>
      <c r="N39" t="s">
        <v>10</v>
      </c>
      <c r="P39" t="s">
        <v>50</v>
      </c>
      <c r="Q39" s="403">
        <f>'Nouveau taux'!M11</f>
        <v>8.9999999999999993E-3</v>
      </c>
      <c r="R39" s="162">
        <f>'Nouveau taux'!N11</f>
        <v>1.2999999999999999E-2</v>
      </c>
      <c r="S39" s="162">
        <f>'Nouveau taux'!O11</f>
        <v>5.0000000000000001E-3</v>
      </c>
      <c r="T39" s="404">
        <f>'Nouveau taux'!P11</f>
        <v>6.0000000000000001E-3</v>
      </c>
      <c r="V39" s="170">
        <f t="shared" ref="V39:V43" si="2">V38+20000</f>
        <v>60000</v>
      </c>
      <c r="W39" s="171">
        <f t="shared" ref="W39:W46" si="3">W38+25000</f>
        <v>75000</v>
      </c>
    </row>
    <row r="40" spans="2:23" ht="16.5" thickTop="1" thickBot="1" x14ac:dyDescent="0.3">
      <c r="L40" s="143" t="str">
        <f>IF(OR(Calculateur!B84="X",Calculateur!B84="x"),L37,L38)</f>
        <v>Non</v>
      </c>
      <c r="N40" s="143" t="str">
        <f>IF(OR(Calculateur!B101="X",Calculateur!B101="x"),N37,N38)</f>
        <v>Non</v>
      </c>
      <c r="P40" t="s">
        <v>51</v>
      </c>
      <c r="Q40" s="403">
        <f>'Nouveau taux'!M12</f>
        <v>8.9999999999999993E-3</v>
      </c>
      <c r="R40" s="162">
        <f>'Nouveau taux'!N12</f>
        <v>1.2999999999999999E-2</v>
      </c>
      <c r="S40" s="162">
        <f>'Nouveau taux'!O12</f>
        <v>5.0000000000000001E-3</v>
      </c>
      <c r="T40" s="404">
        <f>'Nouveau taux'!P12</f>
        <v>6.0000000000000001E-3</v>
      </c>
      <c r="V40" s="170">
        <f t="shared" si="2"/>
        <v>80000</v>
      </c>
      <c r="W40" s="171">
        <f t="shared" si="3"/>
        <v>100000</v>
      </c>
    </row>
    <row r="41" spans="2:23" ht="15.75" thickTop="1" x14ac:dyDescent="0.25">
      <c r="P41" t="s">
        <v>52</v>
      </c>
      <c r="Q41" s="403">
        <f>'Nouveau taux'!M13</f>
        <v>1.2E-2</v>
      </c>
      <c r="R41" s="162">
        <f>'Nouveau taux'!N13</f>
        <v>1.4999999999999999E-2</v>
      </c>
      <c r="S41" s="162">
        <f>'Nouveau taux'!O13</f>
        <v>6.0000000000000001E-3</v>
      </c>
      <c r="T41" s="404">
        <f>'Nouveau taux'!P13</f>
        <v>7.0000000000000001E-3</v>
      </c>
      <c r="V41" s="170">
        <f t="shared" si="2"/>
        <v>100000</v>
      </c>
      <c r="W41" s="171">
        <f t="shared" si="3"/>
        <v>125000</v>
      </c>
    </row>
    <row r="42" spans="2:23" x14ac:dyDescent="0.25">
      <c r="L42" t="s">
        <v>39</v>
      </c>
      <c r="N42" t="s">
        <v>39</v>
      </c>
      <c r="P42" t="s">
        <v>53</v>
      </c>
      <c r="Q42" s="403">
        <f>'Nouveau taux'!M14</f>
        <v>1.7000000000000001E-2</v>
      </c>
      <c r="R42" s="162">
        <f>'Nouveau taux'!N14</f>
        <v>2.5000000000000001E-2</v>
      </c>
      <c r="S42" s="162">
        <f>'Nouveau taux'!O14</f>
        <v>8.9999999999999993E-3</v>
      </c>
      <c r="T42" s="404">
        <f>'Nouveau taux'!P14</f>
        <v>1.2999999999999999E-2</v>
      </c>
      <c r="V42" s="170">
        <f t="shared" si="2"/>
        <v>120000</v>
      </c>
      <c r="W42" s="171">
        <f t="shared" si="3"/>
        <v>150000</v>
      </c>
    </row>
    <row r="43" spans="2:23" ht="15.75" thickBot="1" x14ac:dyDescent="0.3">
      <c r="L43" t="s">
        <v>40</v>
      </c>
      <c r="N43" t="s">
        <v>40</v>
      </c>
      <c r="P43" t="s">
        <v>54</v>
      </c>
      <c r="Q43" s="403">
        <f>'Nouveau taux'!M15</f>
        <v>2.8000000000000001E-2</v>
      </c>
      <c r="R43" s="162">
        <f>'Nouveau taux'!N15</f>
        <v>0.04</v>
      </c>
      <c r="S43" s="162">
        <f>'Nouveau taux'!O15</f>
        <v>1.2999999999999999E-2</v>
      </c>
      <c r="T43" s="404">
        <f>'Nouveau taux'!P15</f>
        <v>1.9E-2</v>
      </c>
      <c r="V43" s="172">
        <f t="shared" si="2"/>
        <v>140000</v>
      </c>
      <c r="W43" s="171">
        <f t="shared" si="3"/>
        <v>175000</v>
      </c>
    </row>
    <row r="44" spans="2:23" ht="16.5" thickTop="1" thickBot="1" x14ac:dyDescent="0.3">
      <c r="L44" t="s">
        <v>41</v>
      </c>
      <c r="N44" t="s">
        <v>41</v>
      </c>
      <c r="P44" t="s">
        <v>55</v>
      </c>
      <c r="Q44" s="403">
        <f>'Nouveau taux'!M16</f>
        <v>4.2000000000000003E-2</v>
      </c>
      <c r="R44" s="162">
        <f>'Nouveau taux'!N16</f>
        <v>6.3E-2</v>
      </c>
      <c r="S44" s="162">
        <f>'Nouveau taux'!O16</f>
        <v>2.4E-2</v>
      </c>
      <c r="T44" s="404">
        <f>'Nouveau taux'!P16</f>
        <v>2.9000000000000001E-2</v>
      </c>
      <c r="V44" t="s">
        <v>66</v>
      </c>
      <c r="W44" s="166">
        <f t="shared" si="3"/>
        <v>200000</v>
      </c>
    </row>
    <row r="45" spans="2:23" ht="16.5" thickTop="1" thickBot="1" x14ac:dyDescent="0.3">
      <c r="L45" t="s">
        <v>10</v>
      </c>
      <c r="N45" t="s">
        <v>10</v>
      </c>
      <c r="P45" t="s">
        <v>56</v>
      </c>
      <c r="Q45" s="403">
        <f>'Nouveau taux'!M17</f>
        <v>6.7000000000000004E-2</v>
      </c>
      <c r="R45" s="162">
        <f>'Nouveau taux'!N17</f>
        <v>0.104</v>
      </c>
      <c r="S45" s="162">
        <f>'Nouveau taux'!O17</f>
        <v>3.5999999999999997E-2</v>
      </c>
      <c r="T45" s="404">
        <f>'Nouveau taux'!P17</f>
        <v>5.7000000000000002E-2</v>
      </c>
      <c r="V45" s="156">
        <f>Calculateur!Y84</f>
        <v>0</v>
      </c>
      <c r="W45" s="166">
        <f t="shared" si="3"/>
        <v>225000</v>
      </c>
    </row>
    <row r="46" spans="2:23" ht="16.5" thickTop="1" thickBot="1" x14ac:dyDescent="0.3">
      <c r="L46" s="143" t="str">
        <f>IF(OR(Calculateur!I86="X",Calculateur!I86="x"),L44,L43)</f>
        <v>Homme</v>
      </c>
      <c r="N46" s="143" t="str">
        <f>IF(OR(Calculateur!I101="X",Calculateur!I101="x"),N43,N44)</f>
        <v>Femme</v>
      </c>
      <c r="P46" t="s">
        <v>57</v>
      </c>
      <c r="Q46" s="403">
        <f>'Nouveau taux'!M18</f>
        <v>0.113</v>
      </c>
      <c r="R46" s="162">
        <f>'Nouveau taux'!N18</f>
        <v>0.16400000000000001</v>
      </c>
      <c r="S46" s="162">
        <f>'Nouveau taux'!O18</f>
        <v>5.6000000000000001E-2</v>
      </c>
      <c r="T46" s="404">
        <f>'Nouveau taux'!P18</f>
        <v>8.4000000000000005E-2</v>
      </c>
      <c r="V46" t="s">
        <v>67</v>
      </c>
      <c r="W46" s="167">
        <f t="shared" si="3"/>
        <v>250000</v>
      </c>
    </row>
    <row r="47" spans="2:23" ht="16.5" thickTop="1" thickBot="1" x14ac:dyDescent="0.3">
      <c r="P47" t="s">
        <v>58</v>
      </c>
      <c r="Q47" s="405">
        <f>'Nouveau taux'!M19</f>
        <v>0.156</v>
      </c>
      <c r="R47" s="406">
        <f>'Nouveau taux'!N19</f>
        <v>0.255</v>
      </c>
      <c r="S47" s="406">
        <f>'Nouveau taux'!O19</f>
        <v>8.7999999999999995E-2</v>
      </c>
      <c r="T47" s="407">
        <f>'Nouveau taux'!P19</f>
        <v>0.13100000000000001</v>
      </c>
      <c r="V47" s="156">
        <f>Calculateur!Y101</f>
        <v>0</v>
      </c>
      <c r="W47" t="s">
        <v>66</v>
      </c>
    </row>
    <row r="48" spans="2:23" ht="16.5" thickTop="1" thickBot="1" x14ac:dyDescent="0.3">
      <c r="L48" t="s">
        <v>42</v>
      </c>
      <c r="P48" t="s">
        <v>71</v>
      </c>
      <c r="W48" s="156">
        <f>Calculateur!Y91</f>
        <v>0</v>
      </c>
    </row>
    <row r="49" spans="12:23" ht="16.5" thickTop="1" thickBot="1" x14ac:dyDescent="0.3">
      <c r="L49" t="s">
        <v>43</v>
      </c>
      <c r="N49" t="s">
        <v>43</v>
      </c>
      <c r="P49" s="143" t="e">
        <f>VLOOKUP(Calculateur!B93,$O$59:$P$110,2,FALSE)</f>
        <v>#N/A</v>
      </c>
      <c r="R49" t="s">
        <v>72</v>
      </c>
      <c r="W49" t="s">
        <v>67</v>
      </c>
    </row>
    <row r="50" spans="12:23" ht="16.5" thickTop="1" thickBot="1" x14ac:dyDescent="0.3">
      <c r="L50" t="s">
        <v>44</v>
      </c>
      <c r="N50" t="s">
        <v>44</v>
      </c>
      <c r="P50" t="s">
        <v>345</v>
      </c>
      <c r="R50" s="160">
        <f>IF(ISERROR(P49),0,IF(AND(L40=L37,L18=L15,IF(R19=R15,N21=N19,IF(R19=R16,N21=N18,FALSE))),VLOOKUP(P49,P38:T47,M54,FALSE),0))</f>
        <v>0</v>
      </c>
      <c r="W50" s="156">
        <f>Calculateur!Y108</f>
        <v>0</v>
      </c>
    </row>
    <row r="51" spans="12:23" ht="16.5" thickTop="1" thickBot="1" x14ac:dyDescent="0.3">
      <c r="L51" t="s">
        <v>47</v>
      </c>
      <c r="N51" t="s">
        <v>47</v>
      </c>
      <c r="P51" s="143" t="e">
        <f>VLOOKUP(Calculateur!B110,$O$59:$P$110,2,FALSE)</f>
        <v>#N/A</v>
      </c>
      <c r="R51" t="s">
        <v>73</v>
      </c>
    </row>
    <row r="52" spans="12:23" ht="16.5" thickTop="1" thickBot="1" x14ac:dyDescent="0.3">
      <c r="L52" t="s">
        <v>48</v>
      </c>
      <c r="N52" t="s">
        <v>48</v>
      </c>
      <c r="R52" s="160">
        <f>IF(ISERROR(P51),0,IF(AND(N40=N37,L28=L25,L18=L15),VLOOKUP(P51,P38:T47,O54,FALSE),0))</f>
        <v>0</v>
      </c>
    </row>
    <row r="53" spans="12:23" ht="16.5" thickTop="1" thickBot="1" x14ac:dyDescent="0.3">
      <c r="L53" t="s">
        <v>10</v>
      </c>
      <c r="N53" t="s">
        <v>10</v>
      </c>
    </row>
    <row r="54" spans="12:23" ht="16.5" thickTop="1" thickBot="1" x14ac:dyDescent="0.3">
      <c r="L54" s="140" t="str">
        <f>IF(OR(Calculateur!I91="X",Calculateur!I91="x"),Calculateur!K91,Calculateur!K93)</f>
        <v>Fumeur</v>
      </c>
      <c r="M54" s="180">
        <f>IF(AND(L46=L43,OR(L54=L49,L54=L51)),2,IF(AND(L46=L43,OR(L54=L50,L54=L52)),3,IF(AND(L46=L44,OR(L54=L49,L54=L51)),4,5)))</f>
        <v>3</v>
      </c>
      <c r="N54" s="180" t="str">
        <f>IF(OR(Calculateur!I108="X",Calculateur!I108="x"),Calculateur!K108,Calculateur!K110)</f>
        <v>Fumeuse</v>
      </c>
      <c r="O54" s="181">
        <f>IF(AND(N46=N43,OR(N54=N49,N54=N51)),2,IF(AND(N46=N43,OR(N54=N50,N54=N52)),3,IF(AND(N46=N44,OR(N54=N49,N54=N51)),4,5)))</f>
        <v>5</v>
      </c>
    </row>
    <row r="55" spans="12:23" ht="15.75" thickTop="1" x14ac:dyDescent="0.25"/>
    <row r="56" spans="12:23" x14ac:dyDescent="0.25">
      <c r="L56" t="s">
        <v>102</v>
      </c>
    </row>
    <row r="57" spans="12:23" x14ac:dyDescent="0.25">
      <c r="L57" t="s">
        <v>103</v>
      </c>
    </row>
    <row r="58" spans="12:23" ht="15.75" thickBot="1" x14ac:dyDescent="0.3"/>
    <row r="59" spans="12:23" ht="16.5" thickTop="1" thickBot="1" x14ac:dyDescent="0.3">
      <c r="O59" s="176">
        <v>18</v>
      </c>
      <c r="P59" s="173" t="s">
        <v>49</v>
      </c>
    </row>
    <row r="60" spans="12:23" ht="15.75" thickTop="1" x14ac:dyDescent="0.25">
      <c r="O60" s="177">
        <f>O59+1</f>
        <v>19</v>
      </c>
      <c r="P60" s="174" t="s">
        <v>49</v>
      </c>
    </row>
    <row r="61" spans="12:23" x14ac:dyDescent="0.25">
      <c r="O61" s="178">
        <f t="shared" ref="O61:O110" si="4">O60+1</f>
        <v>20</v>
      </c>
      <c r="P61" s="174" t="s">
        <v>49</v>
      </c>
    </row>
    <row r="62" spans="12:23" x14ac:dyDescent="0.25">
      <c r="O62" s="178">
        <f t="shared" si="4"/>
        <v>21</v>
      </c>
      <c r="P62" s="174" t="s">
        <v>49</v>
      </c>
    </row>
    <row r="63" spans="12:23" x14ac:dyDescent="0.25">
      <c r="O63" s="178">
        <f t="shared" si="4"/>
        <v>22</v>
      </c>
      <c r="P63" s="174" t="s">
        <v>49</v>
      </c>
    </row>
    <row r="64" spans="12:23" x14ac:dyDescent="0.25">
      <c r="O64" s="178">
        <f t="shared" si="4"/>
        <v>23</v>
      </c>
      <c r="P64" s="174" t="s">
        <v>49</v>
      </c>
    </row>
    <row r="65" spans="15:16" x14ac:dyDescent="0.25">
      <c r="O65" s="178">
        <f t="shared" si="4"/>
        <v>24</v>
      </c>
      <c r="P65" s="174" t="s">
        <v>49</v>
      </c>
    </row>
    <row r="66" spans="15:16" x14ac:dyDescent="0.25">
      <c r="O66" s="178">
        <f t="shared" si="4"/>
        <v>25</v>
      </c>
      <c r="P66" s="174" t="s">
        <v>50</v>
      </c>
    </row>
    <row r="67" spans="15:16" x14ac:dyDescent="0.25">
      <c r="O67" s="178">
        <f t="shared" si="4"/>
        <v>26</v>
      </c>
      <c r="P67" s="174" t="s">
        <v>50</v>
      </c>
    </row>
    <row r="68" spans="15:16" x14ac:dyDescent="0.25">
      <c r="O68" s="178">
        <f t="shared" si="4"/>
        <v>27</v>
      </c>
      <c r="P68" s="174" t="s">
        <v>50</v>
      </c>
    </row>
    <row r="69" spans="15:16" x14ac:dyDescent="0.25">
      <c r="O69" s="178">
        <f t="shared" si="4"/>
        <v>28</v>
      </c>
      <c r="P69" s="174" t="s">
        <v>50</v>
      </c>
    </row>
    <row r="70" spans="15:16" x14ac:dyDescent="0.25">
      <c r="O70" s="178">
        <f t="shared" si="4"/>
        <v>29</v>
      </c>
      <c r="P70" s="174" t="s">
        <v>50</v>
      </c>
    </row>
    <row r="71" spans="15:16" x14ac:dyDescent="0.25">
      <c r="O71" s="178">
        <f t="shared" si="4"/>
        <v>30</v>
      </c>
      <c r="P71" s="174" t="s">
        <v>51</v>
      </c>
    </row>
    <row r="72" spans="15:16" x14ac:dyDescent="0.25">
      <c r="O72" s="178">
        <f t="shared" si="4"/>
        <v>31</v>
      </c>
      <c r="P72" s="174" t="s">
        <v>51</v>
      </c>
    </row>
    <row r="73" spans="15:16" x14ac:dyDescent="0.25">
      <c r="O73" s="178">
        <f t="shared" si="4"/>
        <v>32</v>
      </c>
      <c r="P73" s="174" t="s">
        <v>51</v>
      </c>
    </row>
    <row r="74" spans="15:16" x14ac:dyDescent="0.25">
      <c r="O74" s="178">
        <f t="shared" si="4"/>
        <v>33</v>
      </c>
      <c r="P74" s="174" t="s">
        <v>51</v>
      </c>
    </row>
    <row r="75" spans="15:16" x14ac:dyDescent="0.25">
      <c r="O75" s="178">
        <f t="shared" si="4"/>
        <v>34</v>
      </c>
      <c r="P75" s="174" t="s">
        <v>51</v>
      </c>
    </row>
    <row r="76" spans="15:16" x14ac:dyDescent="0.25">
      <c r="O76" s="178">
        <f t="shared" si="4"/>
        <v>35</v>
      </c>
      <c r="P76" s="174" t="s">
        <v>52</v>
      </c>
    </row>
    <row r="77" spans="15:16" x14ac:dyDescent="0.25">
      <c r="O77" s="178">
        <f t="shared" si="4"/>
        <v>36</v>
      </c>
      <c r="P77" s="174" t="s">
        <v>52</v>
      </c>
    </row>
    <row r="78" spans="15:16" x14ac:dyDescent="0.25">
      <c r="O78" s="178">
        <f t="shared" si="4"/>
        <v>37</v>
      </c>
      <c r="P78" s="174" t="s">
        <v>52</v>
      </c>
    </row>
    <row r="79" spans="15:16" x14ac:dyDescent="0.25">
      <c r="O79" s="178">
        <f t="shared" si="4"/>
        <v>38</v>
      </c>
      <c r="P79" s="174" t="s">
        <v>52</v>
      </c>
    </row>
    <row r="80" spans="15:16" x14ac:dyDescent="0.25">
      <c r="O80" s="178">
        <f t="shared" si="4"/>
        <v>39</v>
      </c>
      <c r="P80" s="174" t="s">
        <v>52</v>
      </c>
    </row>
    <row r="81" spans="15:16" x14ac:dyDescent="0.25">
      <c r="O81" s="178">
        <f t="shared" si="4"/>
        <v>40</v>
      </c>
      <c r="P81" s="174" t="s">
        <v>53</v>
      </c>
    </row>
    <row r="82" spans="15:16" x14ac:dyDescent="0.25">
      <c r="O82" s="178">
        <f t="shared" si="4"/>
        <v>41</v>
      </c>
      <c r="P82" s="174" t="s">
        <v>53</v>
      </c>
    </row>
    <row r="83" spans="15:16" x14ac:dyDescent="0.25">
      <c r="O83" s="178">
        <f t="shared" si="4"/>
        <v>42</v>
      </c>
      <c r="P83" s="174" t="s">
        <v>53</v>
      </c>
    </row>
    <row r="84" spans="15:16" x14ac:dyDescent="0.25">
      <c r="O84" s="178">
        <f t="shared" si="4"/>
        <v>43</v>
      </c>
      <c r="P84" s="174" t="s">
        <v>53</v>
      </c>
    </row>
    <row r="85" spans="15:16" x14ac:dyDescent="0.25">
      <c r="O85" s="178">
        <f t="shared" si="4"/>
        <v>44</v>
      </c>
      <c r="P85" s="174" t="s">
        <v>53</v>
      </c>
    </row>
    <row r="86" spans="15:16" x14ac:dyDescent="0.25">
      <c r="O86" s="178">
        <f t="shared" si="4"/>
        <v>45</v>
      </c>
      <c r="P86" s="174" t="s">
        <v>54</v>
      </c>
    </row>
    <row r="87" spans="15:16" x14ac:dyDescent="0.25">
      <c r="O87" s="178">
        <f t="shared" si="4"/>
        <v>46</v>
      </c>
      <c r="P87" s="174" t="s">
        <v>54</v>
      </c>
    </row>
    <row r="88" spans="15:16" x14ac:dyDescent="0.25">
      <c r="O88" s="178">
        <f t="shared" si="4"/>
        <v>47</v>
      </c>
      <c r="P88" s="174" t="s">
        <v>54</v>
      </c>
    </row>
    <row r="89" spans="15:16" x14ac:dyDescent="0.25">
      <c r="O89" s="178">
        <f t="shared" si="4"/>
        <v>48</v>
      </c>
      <c r="P89" s="174" t="s">
        <v>54</v>
      </c>
    </row>
    <row r="90" spans="15:16" x14ac:dyDescent="0.25">
      <c r="O90" s="178">
        <f t="shared" si="4"/>
        <v>49</v>
      </c>
      <c r="P90" s="174" t="s">
        <v>54</v>
      </c>
    </row>
    <row r="91" spans="15:16" x14ac:dyDescent="0.25">
      <c r="O91" s="178">
        <f t="shared" si="4"/>
        <v>50</v>
      </c>
      <c r="P91" s="174" t="s">
        <v>55</v>
      </c>
    </row>
    <row r="92" spans="15:16" x14ac:dyDescent="0.25">
      <c r="O92" s="178">
        <f t="shared" si="4"/>
        <v>51</v>
      </c>
      <c r="P92" s="174" t="s">
        <v>55</v>
      </c>
    </row>
    <row r="93" spans="15:16" x14ac:dyDescent="0.25">
      <c r="O93" s="178">
        <f t="shared" si="4"/>
        <v>52</v>
      </c>
      <c r="P93" s="174" t="s">
        <v>55</v>
      </c>
    </row>
    <row r="94" spans="15:16" x14ac:dyDescent="0.25">
      <c r="O94" s="178">
        <f t="shared" si="4"/>
        <v>53</v>
      </c>
      <c r="P94" s="174" t="s">
        <v>55</v>
      </c>
    </row>
    <row r="95" spans="15:16" x14ac:dyDescent="0.25">
      <c r="O95" s="178">
        <f t="shared" si="4"/>
        <v>54</v>
      </c>
      <c r="P95" s="174" t="s">
        <v>55</v>
      </c>
    </row>
    <row r="96" spans="15:16" x14ac:dyDescent="0.25">
      <c r="O96" s="178">
        <f t="shared" si="4"/>
        <v>55</v>
      </c>
      <c r="P96" s="174" t="s">
        <v>56</v>
      </c>
    </row>
    <row r="97" spans="15:16" x14ac:dyDescent="0.25">
      <c r="O97" s="178">
        <f t="shared" si="4"/>
        <v>56</v>
      </c>
      <c r="P97" s="174" t="s">
        <v>56</v>
      </c>
    </row>
    <row r="98" spans="15:16" x14ac:dyDescent="0.25">
      <c r="O98" s="178">
        <f t="shared" si="4"/>
        <v>57</v>
      </c>
      <c r="P98" s="174" t="s">
        <v>56</v>
      </c>
    </row>
    <row r="99" spans="15:16" x14ac:dyDescent="0.25">
      <c r="O99" s="178">
        <f t="shared" si="4"/>
        <v>58</v>
      </c>
      <c r="P99" s="174" t="s">
        <v>56</v>
      </c>
    </row>
    <row r="100" spans="15:16" x14ac:dyDescent="0.25">
      <c r="O100" s="178">
        <f t="shared" si="4"/>
        <v>59</v>
      </c>
      <c r="P100" s="174" t="s">
        <v>56</v>
      </c>
    </row>
    <row r="101" spans="15:16" x14ac:dyDescent="0.25">
      <c r="O101" s="178">
        <f t="shared" si="4"/>
        <v>60</v>
      </c>
      <c r="P101" s="174" t="s">
        <v>57</v>
      </c>
    </row>
    <row r="102" spans="15:16" x14ac:dyDescent="0.25">
      <c r="O102" s="178">
        <f t="shared" si="4"/>
        <v>61</v>
      </c>
      <c r="P102" s="174" t="s">
        <v>57</v>
      </c>
    </row>
    <row r="103" spans="15:16" x14ac:dyDescent="0.25">
      <c r="O103" s="178">
        <f t="shared" si="4"/>
        <v>62</v>
      </c>
      <c r="P103" s="174" t="s">
        <v>57</v>
      </c>
    </row>
    <row r="104" spans="15:16" x14ac:dyDescent="0.25">
      <c r="O104" s="178">
        <f t="shared" si="4"/>
        <v>63</v>
      </c>
      <c r="P104" s="174" t="s">
        <v>57</v>
      </c>
    </row>
    <row r="105" spans="15:16" x14ac:dyDescent="0.25">
      <c r="O105" s="178">
        <f t="shared" si="4"/>
        <v>64</v>
      </c>
      <c r="P105" s="174" t="s">
        <v>57</v>
      </c>
    </row>
    <row r="106" spans="15:16" x14ac:dyDescent="0.25">
      <c r="O106" s="178">
        <f t="shared" si="4"/>
        <v>65</v>
      </c>
      <c r="P106" s="174" t="s">
        <v>58</v>
      </c>
    </row>
    <row r="107" spans="15:16" x14ac:dyDescent="0.25">
      <c r="O107" s="178">
        <f t="shared" si="4"/>
        <v>66</v>
      </c>
      <c r="P107" s="174" t="s">
        <v>58</v>
      </c>
    </row>
    <row r="108" spans="15:16" x14ac:dyDescent="0.25">
      <c r="O108" s="178">
        <f t="shared" si="4"/>
        <v>67</v>
      </c>
      <c r="P108" s="174" t="s">
        <v>58</v>
      </c>
    </row>
    <row r="109" spans="15:16" x14ac:dyDescent="0.25">
      <c r="O109" s="178">
        <f t="shared" si="4"/>
        <v>68</v>
      </c>
      <c r="P109" s="174" t="s">
        <v>58</v>
      </c>
    </row>
    <row r="110" spans="15:16" ht="15.75" thickBot="1" x14ac:dyDescent="0.3">
      <c r="O110" s="179">
        <f t="shared" si="4"/>
        <v>69</v>
      </c>
      <c r="P110" s="175" t="s">
        <v>58</v>
      </c>
    </row>
    <row r="111" spans="15:16" ht="15.75" thickTop="1" x14ac:dyDescent="0.25"/>
  </sheetData>
  <mergeCells count="2">
    <mergeCell ref="Q36:R36"/>
    <mergeCell ref="S36:T36"/>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50"/>
  </sheetPr>
  <dimension ref="A1:W111"/>
  <sheetViews>
    <sheetView topLeftCell="A6" zoomScale="70" zoomScaleNormal="70" workbookViewId="0">
      <selection activeCell="I4" sqref="I4"/>
    </sheetView>
  </sheetViews>
  <sheetFormatPr baseColWidth="10" defaultColWidth="11.42578125" defaultRowHeight="15" x14ac:dyDescent="0.25"/>
  <cols>
    <col min="2" max="2" width="40.140625" customWidth="1"/>
    <col min="3" max="3" width="13.28515625" customWidth="1"/>
    <col min="5" max="5" width="33.7109375" customWidth="1"/>
    <col min="6" max="6" width="21.85546875" customWidth="1"/>
    <col min="13" max="13" width="14.7109375" customWidth="1"/>
    <col min="16" max="16" width="13.140625" customWidth="1"/>
    <col min="22" max="22" width="13.7109375" customWidth="1"/>
    <col min="23" max="23" width="13.42578125" bestFit="1" customWidth="1"/>
  </cols>
  <sheetData>
    <row r="1" spans="1:18" x14ac:dyDescent="0.25">
      <c r="A1" s="353" t="s">
        <v>306</v>
      </c>
    </row>
    <row r="2" spans="1:18" ht="15.75" thickBot="1" x14ac:dyDescent="0.3">
      <c r="B2" s="200" t="s">
        <v>171</v>
      </c>
      <c r="C2" s="200" t="s">
        <v>172</v>
      </c>
      <c r="D2" s="200" t="s">
        <v>173</v>
      </c>
      <c r="E2" s="1"/>
      <c r="F2" s="200" t="s">
        <v>174</v>
      </c>
      <c r="G2" s="238" t="s">
        <v>175</v>
      </c>
      <c r="H2" s="239"/>
      <c r="I2" s="239"/>
      <c r="J2" s="240"/>
      <c r="L2" s="200" t="s">
        <v>176</v>
      </c>
      <c r="O2" t="s">
        <v>177</v>
      </c>
    </row>
    <row r="3" spans="1:18" ht="16.5" thickTop="1" thickBot="1" x14ac:dyDescent="0.3">
      <c r="B3" t="s">
        <v>178</v>
      </c>
      <c r="C3" t="s">
        <v>179</v>
      </c>
      <c r="D3" t="s">
        <v>180</v>
      </c>
      <c r="G3" s="241" t="s">
        <v>5</v>
      </c>
      <c r="H3" s="242" t="s">
        <v>6</v>
      </c>
      <c r="I3" s="242" t="s">
        <v>7</v>
      </c>
      <c r="J3" s="243"/>
      <c r="L3" s="220" t="s">
        <v>137</v>
      </c>
      <c r="P3" s="186" t="s">
        <v>26</v>
      </c>
      <c r="Q3" s="187" t="s">
        <v>27</v>
      </c>
    </row>
    <row r="4" spans="1:18" ht="15.75" thickTop="1" x14ac:dyDescent="0.25">
      <c r="B4" t="s">
        <v>181</v>
      </c>
      <c r="C4" t="s">
        <v>182</v>
      </c>
      <c r="D4" t="s">
        <v>183</v>
      </c>
      <c r="F4" s="2" t="s">
        <v>179</v>
      </c>
      <c r="G4" s="244">
        <f>Taux!G4</f>
        <v>56.09</v>
      </c>
      <c r="H4" s="245">
        <f>Taux!H4</f>
        <v>77.900000000000006</v>
      </c>
      <c r="I4" s="246">
        <f>Taux!I4</f>
        <v>95.82</v>
      </c>
      <c r="J4" s="243"/>
      <c r="L4" t="s">
        <v>184</v>
      </c>
      <c r="O4" s="2" t="s">
        <v>185</v>
      </c>
      <c r="P4" s="244">
        <f>Taux!P4</f>
        <v>12.4</v>
      </c>
      <c r="Q4" s="246">
        <f>Taux!Q4</f>
        <v>16.5</v>
      </c>
    </row>
    <row r="5" spans="1:18" ht="15.75" thickBot="1" x14ac:dyDescent="0.3">
      <c r="B5" t="s">
        <v>186</v>
      </c>
      <c r="C5" t="s">
        <v>187</v>
      </c>
      <c r="D5" t="s">
        <v>188</v>
      </c>
      <c r="F5" s="2" t="s">
        <v>182</v>
      </c>
      <c r="G5" s="129">
        <f>Taux!G5</f>
        <v>86.94</v>
      </c>
      <c r="H5" s="128">
        <f>Taux!H5</f>
        <v>120.74</v>
      </c>
      <c r="I5" s="130">
        <f>Taux!I5</f>
        <v>148.51</v>
      </c>
      <c r="J5" s="243"/>
      <c r="L5" t="s">
        <v>189</v>
      </c>
      <c r="O5" s="2" t="s">
        <v>190</v>
      </c>
      <c r="P5" s="129">
        <f>Taux!P5</f>
        <v>23.57</v>
      </c>
      <c r="Q5" s="130">
        <f>Taux!Q5</f>
        <v>31.35</v>
      </c>
    </row>
    <row r="6" spans="1:18" ht="16.5" thickTop="1" thickBot="1" x14ac:dyDescent="0.3">
      <c r="B6" t="s">
        <v>191</v>
      </c>
      <c r="C6" t="s">
        <v>192</v>
      </c>
      <c r="D6" s="310">
        <f>Calculator!I4</f>
        <v>0</v>
      </c>
      <c r="E6" t="s">
        <v>292</v>
      </c>
      <c r="F6" s="2" t="s">
        <v>187</v>
      </c>
      <c r="G6" s="129">
        <f>Taux!G6</f>
        <v>138.54</v>
      </c>
      <c r="H6" s="128">
        <f>Taux!H6</f>
        <v>192.41</v>
      </c>
      <c r="I6" s="130">
        <f>Taux!I6</f>
        <v>236.67</v>
      </c>
      <c r="J6" s="243"/>
      <c r="O6" s="2" t="s">
        <v>193</v>
      </c>
      <c r="P6" s="129">
        <f>Taux!P6</f>
        <v>31.26</v>
      </c>
      <c r="Q6" s="130">
        <f>Taux!Q6</f>
        <v>41.58</v>
      </c>
    </row>
    <row r="7" spans="1:18" ht="16.5" thickTop="1" thickBot="1" x14ac:dyDescent="0.3">
      <c r="F7" s="2" t="s">
        <v>192</v>
      </c>
      <c r="G7" s="131">
        <f>Taux!G7</f>
        <v>129</v>
      </c>
      <c r="H7" s="132">
        <f>Taux!H7</f>
        <v>179.17</v>
      </c>
      <c r="I7" s="133">
        <f>Taux!I7</f>
        <v>220.38</v>
      </c>
      <c r="J7" s="247"/>
      <c r="O7" s="2" t="s">
        <v>192</v>
      </c>
      <c r="P7" s="131">
        <f>Taux!P7</f>
        <v>28.53</v>
      </c>
      <c r="Q7" s="133">
        <f>Taux!Q7</f>
        <v>37.950000000000003</v>
      </c>
    </row>
    <row r="8" spans="1:18" ht="16.5" thickTop="1" thickBot="1" x14ac:dyDescent="0.3">
      <c r="B8" t="s">
        <v>194</v>
      </c>
      <c r="C8" t="s">
        <v>194</v>
      </c>
      <c r="D8" t="s">
        <v>194</v>
      </c>
      <c r="G8" s="248" t="s">
        <v>195</v>
      </c>
      <c r="H8" s="249"/>
      <c r="I8" s="249"/>
      <c r="J8" s="240"/>
      <c r="L8" t="s">
        <v>194</v>
      </c>
    </row>
    <row r="9" spans="1:18" ht="16.5" thickTop="1" thickBot="1" x14ac:dyDescent="0.3">
      <c r="B9" s="155" t="str">
        <f>IF(OR(Calculator!B7="X",Calculator!B7="x"),B3,IF(OR(Calculator!B9="X",Calculator!B9="x"),B4,IF(OR(Calculator!B11="X",Calculator!B11="x"),B5,B6)))</f>
        <v>I am covered under my spouse’s insurance</v>
      </c>
      <c r="C9" s="143" t="str">
        <f>IF(OR(Calculator!Q7="X",Calculator!Q7="x"),C3,IF(OR(Calculator!Q9="X",Calculator!Q9="x"),C4,IF(OR(Calculator!Q11="X",Calculator!Q11="x"),C5,IF(OR(Calculator!Q13="X",Calculator!Q13="x"),C6,""))))</f>
        <v/>
      </c>
      <c r="D9" s="309" t="str">
        <f>IF(D6&lt;65,D3,IF(AND(D6&gt;=65,OR(Calculator!Q4="x",Calculator!Q4="X")),D4,D5))</f>
        <v>Participant under age 65</v>
      </c>
      <c r="E9" s="141"/>
      <c r="G9" s="241" t="s">
        <v>5</v>
      </c>
      <c r="H9" s="242" t="s">
        <v>6</v>
      </c>
      <c r="I9" s="242" t="s">
        <v>7</v>
      </c>
      <c r="J9" s="243"/>
      <c r="L9" s="140" t="str">
        <f>IF(OR(Calculator!B19="X",Calculator!B19="x"),L3,IF(OR(Calculator!B21="X",Calculator!B21="x"),L4,IF(OR(Calculator!B23="X",Calculator!B23="x"),L5,"")))</f>
        <v/>
      </c>
      <c r="M9" s="181"/>
    </row>
    <row r="10" spans="1:18" ht="16.5" thickTop="1" thickBot="1" x14ac:dyDescent="0.3">
      <c r="F10" s="2" t="s">
        <v>179</v>
      </c>
      <c r="G10" s="244">
        <f>Taux!G10</f>
        <v>20.27</v>
      </c>
      <c r="H10" s="245">
        <f>Taux!H10</f>
        <v>28.96</v>
      </c>
      <c r="I10" s="246">
        <f>Taux!I10</f>
        <v>35.619999999999997</v>
      </c>
      <c r="J10" s="243"/>
      <c r="L10" t="s">
        <v>196</v>
      </c>
      <c r="O10" s="2" t="s">
        <v>197</v>
      </c>
    </row>
    <row r="11" spans="1:18" ht="16.5" thickTop="1" thickBot="1" x14ac:dyDescent="0.3">
      <c r="F11" s="2" t="s">
        <v>182</v>
      </c>
      <c r="G11" s="129">
        <f>Taux!G11</f>
        <v>35.479999999999997</v>
      </c>
      <c r="H11" s="128">
        <f>Taux!H11</f>
        <v>50.68</v>
      </c>
      <c r="I11" s="130">
        <f>Taux!I11</f>
        <v>62.34</v>
      </c>
      <c r="J11" s="243"/>
      <c r="L11" s="135" t="b">
        <v>1</v>
      </c>
      <c r="O11" s="156">
        <f>IF(OR(L9=L3,L12=TRUE),0,IF(L9=L4,IF(C9=C3,P4,IF(C9=C4,P5,IF(C9=C5,P6,P7))),IF(AND(L9=L5,L11=TRUE),IF(C9=C3,Q4,IF(C9=C4,Q5,IF(C9=C5,Q6,Q7))),0)))</f>
        <v>0</v>
      </c>
    </row>
    <row r="12" spans="1:18" ht="16.5" thickTop="1" thickBot="1" x14ac:dyDescent="0.3">
      <c r="D12" s="111"/>
      <c r="F12" s="2" t="s">
        <v>187</v>
      </c>
      <c r="G12" s="129">
        <f>Taux!G12</f>
        <v>54.74</v>
      </c>
      <c r="H12" s="128">
        <f>Taux!H12</f>
        <v>78.19</v>
      </c>
      <c r="I12" s="130">
        <f>Taux!I12</f>
        <v>96.18</v>
      </c>
      <c r="J12" s="243"/>
      <c r="L12" s="136" t="b">
        <v>0</v>
      </c>
    </row>
    <row r="13" spans="1:18" ht="16.5" thickTop="1" thickBot="1" x14ac:dyDescent="0.3">
      <c r="F13" s="2" t="s">
        <v>192</v>
      </c>
      <c r="G13" s="131">
        <f>Taux!G13</f>
        <v>46.63</v>
      </c>
      <c r="H13" s="132">
        <f>Taux!H13</f>
        <v>66.61</v>
      </c>
      <c r="I13" s="133">
        <f>Taux!I13</f>
        <v>81.93</v>
      </c>
      <c r="J13" s="247"/>
    </row>
    <row r="14" spans="1:18" ht="16.5" thickTop="1" thickBot="1" x14ac:dyDescent="0.3">
      <c r="G14" s="248" t="s">
        <v>198</v>
      </c>
      <c r="H14" s="249"/>
      <c r="I14" s="249"/>
      <c r="J14" s="240"/>
      <c r="L14" s="200" t="s">
        <v>199</v>
      </c>
      <c r="P14" t="s">
        <v>200</v>
      </c>
      <c r="R14" t="s">
        <v>201</v>
      </c>
    </row>
    <row r="15" spans="1:18" ht="16.5" thickTop="1" thickBot="1" x14ac:dyDescent="0.3">
      <c r="G15" s="241" t="s">
        <v>5</v>
      </c>
      <c r="H15" s="242" t="s">
        <v>6</v>
      </c>
      <c r="I15" s="242" t="s">
        <v>7</v>
      </c>
      <c r="J15" s="243"/>
      <c r="L15" t="s">
        <v>202</v>
      </c>
      <c r="N15" t="s">
        <v>70</v>
      </c>
      <c r="P15" t="s">
        <v>203</v>
      </c>
      <c r="Q15" s="135">
        <f>Taux!Q15</f>
        <v>2.8400000000000002E-2</v>
      </c>
      <c r="R15" t="s">
        <v>204</v>
      </c>
    </row>
    <row r="16" spans="1:18" ht="15.75" thickTop="1" x14ac:dyDescent="0.25">
      <c r="B16" s="146">
        <f>G10+G16</f>
        <v>157.83000000000001</v>
      </c>
      <c r="C16" s="147">
        <f t="shared" ref="C16:D16" si="0">H10+H16</f>
        <v>166.52</v>
      </c>
      <c r="D16" s="148">
        <f t="shared" si="0"/>
        <v>173.18</v>
      </c>
      <c r="F16" s="2" t="s">
        <v>179</v>
      </c>
      <c r="G16" s="250">
        <f>Taux!G16</f>
        <v>137.56</v>
      </c>
      <c r="H16" s="157">
        <f>Taux!H16</f>
        <v>137.56</v>
      </c>
      <c r="I16" s="158">
        <f>Taux!I16</f>
        <v>137.56</v>
      </c>
      <c r="J16" s="243"/>
      <c r="L16" t="s">
        <v>205</v>
      </c>
      <c r="N16" s="111" t="s">
        <v>117</v>
      </c>
      <c r="P16" t="s">
        <v>206</v>
      </c>
      <c r="Q16" s="251">
        <f>Taux!Q16</f>
        <v>0.83499999999999996</v>
      </c>
      <c r="R16" t="s">
        <v>207</v>
      </c>
    </row>
    <row r="17" spans="2:19" ht="15.75" thickBot="1" x14ac:dyDescent="0.3">
      <c r="B17" s="149">
        <f t="shared" ref="B17:D17" si="1">G11+G17</f>
        <v>173.04</v>
      </c>
      <c r="C17" s="150">
        <f t="shared" si="1"/>
        <v>188.24</v>
      </c>
      <c r="D17" s="151">
        <f t="shared" si="1"/>
        <v>199.9</v>
      </c>
      <c r="F17" s="2" t="s">
        <v>182</v>
      </c>
      <c r="G17" s="252">
        <f>Taux!G17</f>
        <v>137.56</v>
      </c>
      <c r="H17" s="253">
        <f>Taux!H17</f>
        <v>137.56</v>
      </c>
      <c r="I17" s="254">
        <f>Taux!I17</f>
        <v>137.56</v>
      </c>
      <c r="J17" s="243"/>
      <c r="L17" t="s">
        <v>194</v>
      </c>
      <c r="N17" t="s">
        <v>208</v>
      </c>
      <c r="P17" t="s">
        <v>209</v>
      </c>
      <c r="Q17" s="251">
        <f>1000*ROUNDDOWN(Calculator!V60/1000,0)+IF(VALUE(RIGHT(Calculator!V60,3))&lt;250,0,IF(VALUE(RIGHT(Calculator!V60,3))&lt;750,500,1000))</f>
        <v>0</v>
      </c>
      <c r="R17" t="s">
        <v>210</v>
      </c>
    </row>
    <row r="18" spans="2:19" ht="16.5" thickTop="1" thickBot="1" x14ac:dyDescent="0.3">
      <c r="B18" s="149">
        <f t="shared" ref="B18:D18" si="2">G12+G18</f>
        <v>329.88</v>
      </c>
      <c r="C18" s="150">
        <f t="shared" si="2"/>
        <v>353.33</v>
      </c>
      <c r="D18" s="151">
        <f t="shared" si="2"/>
        <v>371.32</v>
      </c>
      <c r="F18" s="2" t="s">
        <v>187</v>
      </c>
      <c r="G18" s="252">
        <f>Taux!G18</f>
        <v>275.14</v>
      </c>
      <c r="H18" s="253">
        <f>Taux!H18</f>
        <v>275.14</v>
      </c>
      <c r="I18" s="254">
        <f>Taux!I18</f>
        <v>275.14</v>
      </c>
      <c r="J18" s="243"/>
      <c r="L18" s="143">
        <f>IF(OR(Calculator!B60="X",Calculator!B60="x"),L15,IF(OR(Calculator!B62="X",Calculator!B62="x"),L16,0))</f>
        <v>0</v>
      </c>
      <c r="N18" t="s">
        <v>151</v>
      </c>
      <c r="P18" t="s">
        <v>211</v>
      </c>
      <c r="Q18" s="136">
        <f>IF(L18=L15,IF(N21=N18,MAX(75000,Q17),IF(N21=N19,MAX(75000,2*Q17),IF(N21=N17,MAX(37500,0.5*Q17),IF(N21="10 000$",10000,)))),0)</f>
        <v>0</v>
      </c>
      <c r="R18" t="s">
        <v>194</v>
      </c>
    </row>
    <row r="19" spans="2:19" ht="16.5" thickTop="1" thickBot="1" x14ac:dyDescent="0.3">
      <c r="B19" s="152">
        <f t="shared" ref="B19:D19" si="3">G13+G19</f>
        <v>321.77</v>
      </c>
      <c r="C19" s="153">
        <f t="shared" si="3"/>
        <v>341.75</v>
      </c>
      <c r="D19" s="154">
        <f t="shared" si="3"/>
        <v>357.07</v>
      </c>
      <c r="F19" s="2" t="s">
        <v>192</v>
      </c>
      <c r="G19" s="255">
        <f>Taux!G19</f>
        <v>275.14</v>
      </c>
      <c r="H19" s="256">
        <f>Taux!H19</f>
        <v>275.14</v>
      </c>
      <c r="I19" s="257">
        <f>Taux!I19</f>
        <v>275.14</v>
      </c>
      <c r="J19" s="247"/>
      <c r="L19" t="s">
        <v>212</v>
      </c>
      <c r="N19" t="s">
        <v>152</v>
      </c>
      <c r="P19" t="s">
        <v>213</v>
      </c>
      <c r="R19" s="140" t="str">
        <f>IF(D6&lt;65,R15,IF(D6&gt;=70,R17,R16))</f>
        <v>Under age 65</v>
      </c>
      <c r="S19" s="181"/>
    </row>
    <row r="20" spans="2:19" ht="16.5" thickTop="1" thickBot="1" x14ac:dyDescent="0.3">
      <c r="L20" s="143">
        <f>IF(L18=L15,Q15,0)</f>
        <v>0</v>
      </c>
      <c r="N20" t="s">
        <v>214</v>
      </c>
    </row>
    <row r="21" spans="2:19" ht="16.5" thickTop="1" thickBot="1" x14ac:dyDescent="0.3">
      <c r="F21" s="2" t="s">
        <v>215</v>
      </c>
      <c r="L21" t="s">
        <v>216</v>
      </c>
      <c r="M21" s="258">
        <f>IF(L18=L16,0,ROUND(Q15*Q18/1000,2)+ROUND(Q16*25000/1000,2))</f>
        <v>20.88</v>
      </c>
      <c r="N21" s="180" t="str">
        <f>IF(AND(ISBLANK(Calculator!Q56),ISBLANK(Calculator!Q58)),"",IF(OR(Calculator!Q56="X",Calculator!Q56="x"),Calculator!S56,Calculator!S58))</f>
        <v/>
      </c>
      <c r="O21" s="180"/>
      <c r="P21" s="181"/>
      <c r="Q21">
        <f>IF(L18=L15,IF(N21="Une fois le salaire annuel",MAX(35000,Q17),IF(N21="Deux fois le salaire annuel",MAX(70000,2*Q17),IF(N21="La moitié du salaire annuel",MAX(17500,0.5*Q17),IF(N21="10 000$",10000,)))),0)</f>
        <v>0</v>
      </c>
      <c r="R21" s="111"/>
    </row>
    <row r="22" spans="2:19" ht="16.5" thickTop="1" thickBot="1" x14ac:dyDescent="0.3">
      <c r="F22" s="156">
        <f>IF(B9=B3,IF(C9=C3,IF(D9=D3,G4,IF(D9=D4,G10,G10+G16)),IF(C9=C4,IF(D9=D3,G5,IF(D9=D4,G11,G11+G17)),IF(C9=C5,IF(D9=D3,G6,IF(D9=D4,G12,G12+G18)),IF(D9=D3,G7,IF(D9=D4,G13,G13+G19))))),IF(B9=B4,IF(C9=C3,IF(D9=D3,H4,IF(D9=D4,H10,H10+H16)),IF(C9=C4,IF(D9=D3,H5,IF(D9=D4,H11,H11+H17)),IF(C9=C5,IF(D9=D3,H6,IF(D9=D4,H12,H12+H18)),IF(D9=D3,H7,IF(D9=D4,H13,H13+H19))))),IF(B9=B5,IF(C9=C3,IF(D9=D3,I4,IF(D9=D4,I10,I10+I16)),IF(C9=C4,IF(D9=D3,I5,IF(D9=D4,I11,I11+I17)),IF(C9=C5,IF(D9=D3,I6,IF(D9=D4,I12,I12+I18)),IF(D9=D3,I7,IF(D9=D4,I13,I13+I19))))),0)))</f>
        <v>0</v>
      </c>
    </row>
    <row r="23" spans="2:19" ht="16.5" thickTop="1" thickBot="1" x14ac:dyDescent="0.3">
      <c r="F23" s="2" t="s">
        <v>217</v>
      </c>
    </row>
    <row r="24" spans="2:19" ht="16.5" thickTop="1" thickBot="1" x14ac:dyDescent="0.3">
      <c r="F24" s="159">
        <f>26*F22</f>
        <v>0</v>
      </c>
      <c r="L24" s="200" t="s">
        <v>218</v>
      </c>
      <c r="P24" t="s">
        <v>200</v>
      </c>
    </row>
    <row r="25" spans="2:19" ht="16.5" thickTop="1" thickBot="1" x14ac:dyDescent="0.3">
      <c r="L25" t="s">
        <v>202</v>
      </c>
      <c r="P25" s="143">
        <f>'Nouveau taux'!M7</f>
        <v>0.29499999999999998</v>
      </c>
    </row>
    <row r="26" spans="2:19" ht="16.5" thickTop="1" thickBot="1" x14ac:dyDescent="0.3">
      <c r="F26" t="s">
        <v>220</v>
      </c>
      <c r="G26" t="s">
        <v>221</v>
      </c>
      <c r="I26" s="200" t="s">
        <v>222</v>
      </c>
      <c r="L26" t="s">
        <v>205</v>
      </c>
    </row>
    <row r="27" spans="2:19" ht="16.5" thickTop="1" thickBot="1" x14ac:dyDescent="0.3">
      <c r="F27" s="140">
        <f>IF(OR(Calculator!B42="X",Calculator!B42="x"),Calculator!D42,IF(OR(Calculator!B34="X",Calculator!B34="x"),Calculator!D34,IF(OR(Calculator!B36="X",Calculator!B36="x"),Calculator!D36,IF(OR(Calculator!B38="X",Calculator!B38="x"),Calculator!D38,IF(OR(Calculator!B40="X",Calculator!B40="x"),Calculator!D40,0)))))</f>
        <v>0</v>
      </c>
      <c r="G27" s="181">
        <f>IF(Calculator!O36="",VLOOKUP(F27,Taux_courte_anglais,2,FALSE),0)</f>
        <v>0</v>
      </c>
      <c r="I27" t="s">
        <v>223</v>
      </c>
      <c r="K27" t="s">
        <v>224</v>
      </c>
      <c r="L27" t="s">
        <v>194</v>
      </c>
    </row>
    <row r="28" spans="2:19" ht="16.5" thickTop="1" thickBot="1" x14ac:dyDescent="0.3">
      <c r="I28" t="s">
        <v>202</v>
      </c>
      <c r="K28" s="140">
        <f>Taux!K28</f>
        <v>0.40500000000000003</v>
      </c>
      <c r="L28" s="181" t="str">
        <f>IF(OR(Calculator!B73="X",Calculator!B73="x"),L25,L26)</f>
        <v>No</v>
      </c>
    </row>
    <row r="29" spans="2:19" ht="16.5" thickTop="1" thickBot="1" x14ac:dyDescent="0.3">
      <c r="I29" t="s">
        <v>205</v>
      </c>
      <c r="L29" t="s">
        <v>197</v>
      </c>
    </row>
    <row r="30" spans="2:19" ht="16.5" thickTop="1" thickBot="1" x14ac:dyDescent="0.3">
      <c r="I30" t="s">
        <v>194</v>
      </c>
      <c r="L30" s="143">
        <f>IF(AND(L28=L25,L18=L15),P25,0)</f>
        <v>0</v>
      </c>
    </row>
    <row r="31" spans="2:19" ht="16.5" thickTop="1" thickBot="1" x14ac:dyDescent="0.3">
      <c r="B31" s="329" t="s">
        <v>219</v>
      </c>
      <c r="C31" s="330" t="s">
        <v>225</v>
      </c>
      <c r="E31" s="2"/>
      <c r="F31" s="1"/>
      <c r="I31">
        <f>IF(OR(Calculator!B47="X",Calculator!B47="x"),Calculator!D47,IF(OR(Calculator!B49="X",Calculator!B49="x"),Calculator!D49,0))</f>
        <v>0</v>
      </c>
    </row>
    <row r="32" spans="2:19" ht="16.5" thickTop="1" thickBot="1" x14ac:dyDescent="0.3">
      <c r="B32" s="323" t="s">
        <v>270</v>
      </c>
      <c r="C32" s="324">
        <f>Courte_Laval</f>
        <v>0.27700000000000002</v>
      </c>
      <c r="E32" s="2"/>
      <c r="F32" s="418"/>
      <c r="I32" t="s">
        <v>212</v>
      </c>
      <c r="L32" t="s">
        <v>226</v>
      </c>
    </row>
    <row r="33" spans="2:23" ht="16.5" thickTop="1" thickBot="1" x14ac:dyDescent="0.3">
      <c r="B33" s="325" t="s">
        <v>142</v>
      </c>
      <c r="C33" s="326">
        <f>Courte_LaSalle</f>
        <v>0.59799999999999998</v>
      </c>
      <c r="E33" s="2"/>
      <c r="F33" s="418"/>
      <c r="I33" s="143">
        <f>IF(I31=I28,K28,0)</f>
        <v>0</v>
      </c>
      <c r="L33" s="220" t="s">
        <v>227</v>
      </c>
    </row>
    <row r="34" spans="2:23" ht="15.75" thickTop="1" x14ac:dyDescent="0.25">
      <c r="B34" s="325" t="s">
        <v>296</v>
      </c>
      <c r="C34" s="326">
        <f>Courte_Trinité</f>
        <v>0.56499999999999995</v>
      </c>
      <c r="E34" s="2"/>
      <c r="F34" s="418"/>
      <c r="L34" s="220" t="s">
        <v>294</v>
      </c>
    </row>
    <row r="35" spans="2:23" ht="15.75" thickBot="1" x14ac:dyDescent="0.3">
      <c r="B35" s="325" t="s">
        <v>308</v>
      </c>
      <c r="C35" s="326">
        <f>Taux!C34</f>
        <v>0.112</v>
      </c>
      <c r="E35" s="2"/>
      <c r="F35" s="418"/>
      <c r="L35" s="200" t="s">
        <v>228</v>
      </c>
      <c r="P35" t="s">
        <v>229</v>
      </c>
      <c r="R35" s="1" t="s">
        <v>284</v>
      </c>
      <c r="V35" t="s">
        <v>230</v>
      </c>
    </row>
    <row r="36" spans="2:23" ht="15.75" thickTop="1" x14ac:dyDescent="0.25">
      <c r="B36" s="325" t="s">
        <v>301</v>
      </c>
      <c r="C36" s="326">
        <f>Courte_Les_autres</f>
        <v>0.46400000000000002</v>
      </c>
      <c r="E36" s="2"/>
      <c r="F36" s="419"/>
      <c r="L36" s="200" t="s">
        <v>231</v>
      </c>
      <c r="N36" s="1" t="s">
        <v>232</v>
      </c>
      <c r="Q36" s="506" t="s">
        <v>233</v>
      </c>
      <c r="R36" s="507"/>
      <c r="S36" s="507" t="s">
        <v>234</v>
      </c>
      <c r="T36" s="508"/>
      <c r="V36" s="259">
        <v>0</v>
      </c>
      <c r="W36" s="260">
        <v>0</v>
      </c>
    </row>
    <row r="37" spans="2:23" ht="15.75" thickBot="1" x14ac:dyDescent="0.3">
      <c r="B37" s="327" t="s">
        <v>143</v>
      </c>
      <c r="C37" s="328">
        <f>Taux!C36</f>
        <v>0</v>
      </c>
      <c r="E37" s="2"/>
      <c r="F37" s="419"/>
      <c r="L37" t="s">
        <v>202</v>
      </c>
      <c r="N37" t="s">
        <v>202</v>
      </c>
      <c r="P37" t="s">
        <v>235</v>
      </c>
      <c r="Q37" s="183" t="s">
        <v>236</v>
      </c>
      <c r="R37" s="184" t="s">
        <v>237</v>
      </c>
      <c r="S37" s="184" t="s">
        <v>236</v>
      </c>
      <c r="T37" s="185" t="s">
        <v>237</v>
      </c>
      <c r="V37" s="261">
        <v>20000</v>
      </c>
      <c r="W37" s="262">
        <v>25000</v>
      </c>
    </row>
    <row r="38" spans="2:23" ht="15.75" thickTop="1" x14ac:dyDescent="0.25">
      <c r="L38" t="s">
        <v>205</v>
      </c>
      <c r="N38" t="s">
        <v>205</v>
      </c>
      <c r="P38" t="s">
        <v>238</v>
      </c>
      <c r="Q38" s="263">
        <f>Taux!Q38</f>
        <v>8.9999999999999993E-3</v>
      </c>
      <c r="R38" s="264">
        <f>Taux!R38</f>
        <v>1.2999999999999999E-2</v>
      </c>
      <c r="S38" s="264">
        <f>Taux!S38</f>
        <v>5.0000000000000001E-3</v>
      </c>
      <c r="T38" s="265">
        <f>Taux!T38</f>
        <v>6.0000000000000001E-3</v>
      </c>
      <c r="V38" s="266">
        <f>V37+20000</f>
        <v>40000</v>
      </c>
      <c r="W38" s="267">
        <f>W37+25000</f>
        <v>50000</v>
      </c>
    </row>
    <row r="39" spans="2:23" ht="15.75" thickBot="1" x14ac:dyDescent="0.3">
      <c r="B39" s="1"/>
      <c r="C39" s="1"/>
      <c r="L39" t="s">
        <v>194</v>
      </c>
      <c r="N39" t="s">
        <v>194</v>
      </c>
      <c r="P39" t="s">
        <v>239</v>
      </c>
      <c r="Q39" s="252">
        <f>Taux!Q39</f>
        <v>8.9999999999999993E-3</v>
      </c>
      <c r="R39" s="253">
        <f>Taux!R39</f>
        <v>1.2999999999999999E-2</v>
      </c>
      <c r="S39" s="253">
        <f>Taux!S39</f>
        <v>5.0000000000000001E-3</v>
      </c>
      <c r="T39" s="254">
        <f>Taux!T39</f>
        <v>6.0000000000000001E-3</v>
      </c>
      <c r="V39" s="266">
        <f t="shared" ref="V39:V43" si="4">V38+20000</f>
        <v>60000</v>
      </c>
      <c r="W39" s="267">
        <f t="shared" ref="W39:W46" si="5">W38+25000</f>
        <v>75000</v>
      </c>
    </row>
    <row r="40" spans="2:23" ht="16.5" thickTop="1" thickBot="1" x14ac:dyDescent="0.3">
      <c r="C40" s="417"/>
      <c r="L40" s="143" t="str">
        <f>IF(OR(Calculator!B83="X",Calculator!B83="x"),L37,L38)</f>
        <v>No</v>
      </c>
      <c r="N40" s="143" t="str">
        <f>IF(OR(Calculator!B100="X",Calculator!B100="x"),N37,N38)</f>
        <v>No</v>
      </c>
      <c r="P40" t="s">
        <v>240</v>
      </c>
      <c r="Q40" s="252">
        <f>Taux!Q40</f>
        <v>8.9999999999999993E-3</v>
      </c>
      <c r="R40" s="253">
        <f>Taux!R40</f>
        <v>1.2999999999999999E-2</v>
      </c>
      <c r="S40" s="253">
        <f>Taux!S40</f>
        <v>5.0000000000000001E-3</v>
      </c>
      <c r="T40" s="254">
        <f>Taux!T40</f>
        <v>6.0000000000000001E-3</v>
      </c>
      <c r="V40" s="266">
        <f t="shared" si="4"/>
        <v>80000</v>
      </c>
      <c r="W40" s="267">
        <f t="shared" si="5"/>
        <v>100000</v>
      </c>
    </row>
    <row r="41" spans="2:23" ht="15.75" thickTop="1" x14ac:dyDescent="0.25">
      <c r="C41" s="417"/>
      <c r="P41" t="s">
        <v>241</v>
      </c>
      <c r="Q41" s="252">
        <f>Taux!Q41</f>
        <v>1.2E-2</v>
      </c>
      <c r="R41" s="253">
        <f>Taux!R41</f>
        <v>1.4999999999999999E-2</v>
      </c>
      <c r="S41" s="253">
        <f>Taux!S41</f>
        <v>6.0000000000000001E-3</v>
      </c>
      <c r="T41" s="254">
        <f>Taux!T41</f>
        <v>7.0000000000000001E-3</v>
      </c>
      <c r="V41" s="266">
        <f t="shared" si="4"/>
        <v>100000</v>
      </c>
      <c r="W41" s="267">
        <f t="shared" si="5"/>
        <v>125000</v>
      </c>
    </row>
    <row r="42" spans="2:23" x14ac:dyDescent="0.25">
      <c r="C42" s="417"/>
      <c r="L42" t="s">
        <v>242</v>
      </c>
      <c r="N42" t="s">
        <v>242</v>
      </c>
      <c r="P42" t="s">
        <v>243</v>
      </c>
      <c r="Q42" s="252">
        <f>Taux!Q42</f>
        <v>1.7000000000000001E-2</v>
      </c>
      <c r="R42" s="253">
        <f>Taux!R42</f>
        <v>2.5000000000000001E-2</v>
      </c>
      <c r="S42" s="253">
        <f>Taux!S42</f>
        <v>8.9999999999999993E-3</v>
      </c>
      <c r="T42" s="254">
        <f>Taux!T42</f>
        <v>1.2999999999999999E-2</v>
      </c>
      <c r="V42" s="266">
        <f t="shared" si="4"/>
        <v>120000</v>
      </c>
      <c r="W42" s="267">
        <f t="shared" si="5"/>
        <v>150000</v>
      </c>
    </row>
    <row r="43" spans="2:23" ht="15.75" thickBot="1" x14ac:dyDescent="0.3">
      <c r="C43" s="417"/>
      <c r="L43" t="s">
        <v>233</v>
      </c>
      <c r="N43" t="s">
        <v>233</v>
      </c>
      <c r="P43" t="s">
        <v>244</v>
      </c>
      <c r="Q43" s="252">
        <f>Taux!Q43</f>
        <v>2.8000000000000001E-2</v>
      </c>
      <c r="R43" s="253">
        <f>Taux!R43</f>
        <v>0.04</v>
      </c>
      <c r="S43" s="253">
        <f>Taux!S43</f>
        <v>1.2999999999999999E-2</v>
      </c>
      <c r="T43" s="254">
        <f>Taux!T43</f>
        <v>1.9E-2</v>
      </c>
      <c r="V43" s="268">
        <f t="shared" si="4"/>
        <v>140000</v>
      </c>
      <c r="W43" s="267">
        <f t="shared" si="5"/>
        <v>175000</v>
      </c>
    </row>
    <row r="44" spans="2:23" ht="15.75" thickTop="1" x14ac:dyDescent="0.25">
      <c r="C44" s="417"/>
      <c r="L44" t="s">
        <v>234</v>
      </c>
      <c r="N44" t="s">
        <v>234</v>
      </c>
      <c r="P44" t="s">
        <v>245</v>
      </c>
      <c r="Q44" s="252">
        <f>Taux!Q44</f>
        <v>4.2000000000000003E-2</v>
      </c>
      <c r="R44" s="253">
        <f>Taux!R44</f>
        <v>6.3E-2</v>
      </c>
      <c r="S44" s="253">
        <f>Taux!S44</f>
        <v>2.4E-2</v>
      </c>
      <c r="T44" s="254">
        <f>Taux!T44</f>
        <v>2.9000000000000001E-2</v>
      </c>
      <c r="V44" t="s">
        <v>246</v>
      </c>
      <c r="W44" s="166">
        <f t="shared" si="5"/>
        <v>200000</v>
      </c>
    </row>
    <row r="45" spans="2:23" ht="15.75" thickBot="1" x14ac:dyDescent="0.3">
      <c r="B45" s="322"/>
      <c r="C45" s="417"/>
      <c r="L45" t="s">
        <v>194</v>
      </c>
      <c r="N45" s="220" t="s">
        <v>269</v>
      </c>
      <c r="P45" t="s">
        <v>247</v>
      </c>
      <c r="Q45" s="252">
        <f>Taux!Q45</f>
        <v>6.7000000000000004E-2</v>
      </c>
      <c r="R45" s="253">
        <f>Taux!R45</f>
        <v>0.104</v>
      </c>
      <c r="S45" s="253">
        <f>Taux!S45</f>
        <v>3.5999999999999997E-2</v>
      </c>
      <c r="T45" s="254">
        <f>Taux!T45</f>
        <v>5.7000000000000002E-2</v>
      </c>
      <c r="V45" s="199">
        <f>Calculator!X83</f>
        <v>0</v>
      </c>
      <c r="W45" s="166">
        <f t="shared" si="5"/>
        <v>225000</v>
      </c>
    </row>
    <row r="46" spans="2:23" ht="16.5" thickTop="1" thickBot="1" x14ac:dyDescent="0.3">
      <c r="L46" s="143" t="str">
        <f>IF(OR(Calculator!I85="X",Calculator!I85="x"),L44,L43)</f>
        <v>Male</v>
      </c>
      <c r="N46" s="143" t="str">
        <f>IF(OR(Calculator!I100="X",Calculator!I100="x"),N43,N44)</f>
        <v>Female</v>
      </c>
      <c r="P46" t="s">
        <v>248</v>
      </c>
      <c r="Q46" s="252">
        <f>Taux!Q46</f>
        <v>0.113</v>
      </c>
      <c r="R46" s="253">
        <f>Taux!R46</f>
        <v>0.16400000000000001</v>
      </c>
      <c r="S46" s="253">
        <f>Taux!S46</f>
        <v>5.6000000000000001E-2</v>
      </c>
      <c r="T46" s="254">
        <f>Taux!T46</f>
        <v>8.4000000000000005E-2</v>
      </c>
      <c r="V46" t="s">
        <v>249</v>
      </c>
      <c r="W46" s="167">
        <f t="shared" si="5"/>
        <v>250000</v>
      </c>
    </row>
    <row r="47" spans="2:23" ht="16.5" thickTop="1" thickBot="1" x14ac:dyDescent="0.3">
      <c r="P47" t="s">
        <v>250</v>
      </c>
      <c r="Q47" s="255">
        <f>Taux!Q47</f>
        <v>0.156</v>
      </c>
      <c r="R47" s="256">
        <f>Taux!R47</f>
        <v>0.255</v>
      </c>
      <c r="S47" s="256">
        <f>Taux!S47</f>
        <v>8.7999999999999995E-2</v>
      </c>
      <c r="T47" s="257">
        <f>Taux!T47</f>
        <v>0.13100000000000001</v>
      </c>
      <c r="V47" s="199">
        <f>Calculator!X100</f>
        <v>0</v>
      </c>
      <c r="W47" t="s">
        <v>246</v>
      </c>
    </row>
    <row r="48" spans="2:23" ht="16.5" thickTop="1" thickBot="1" x14ac:dyDescent="0.3">
      <c r="L48" t="s">
        <v>251</v>
      </c>
      <c r="N48" t="s">
        <v>251</v>
      </c>
      <c r="P48" t="s">
        <v>252</v>
      </c>
      <c r="W48" s="156">
        <f>Calculator!X90</f>
        <v>0</v>
      </c>
    </row>
    <row r="49" spans="12:23" ht="16.5" thickTop="1" thickBot="1" x14ac:dyDescent="0.3">
      <c r="L49" t="s">
        <v>162</v>
      </c>
      <c r="N49" t="s">
        <v>162</v>
      </c>
      <c r="P49" s="143" t="e">
        <f>VLOOKUP(Calculator!B92,$O$59:$P$110,2,FALSE)</f>
        <v>#N/A</v>
      </c>
      <c r="R49" t="s">
        <v>254</v>
      </c>
      <c r="W49" t="s">
        <v>249</v>
      </c>
    </row>
    <row r="50" spans="12:23" ht="16.5" thickTop="1" thickBot="1" x14ac:dyDescent="0.3">
      <c r="L50" t="s">
        <v>164</v>
      </c>
      <c r="N50" t="s">
        <v>164</v>
      </c>
      <c r="P50" t="s">
        <v>255</v>
      </c>
      <c r="R50" s="143">
        <f>IF(ISERROR(P49),0,IF(AND(L40=L37,L18=L15,IF(R19=R15,N21=N19,IF(R19=R16,N21=N18,FALSE))),VLOOKUP(P49,P38:T47,M54,FALSE),0))</f>
        <v>0</v>
      </c>
      <c r="W50" s="156">
        <f>Calculator!X107</f>
        <v>0</v>
      </c>
    </row>
    <row r="51" spans="12:23" ht="16.5" thickTop="1" thickBot="1" x14ac:dyDescent="0.3">
      <c r="L51" t="s">
        <v>162</v>
      </c>
      <c r="N51" t="s">
        <v>162</v>
      </c>
      <c r="P51" s="143" t="e">
        <f>VLOOKUP(Calculator!B109,$O$59:$P$110,2,FALSE)</f>
        <v>#N/A</v>
      </c>
      <c r="R51" t="s">
        <v>256</v>
      </c>
    </row>
    <row r="52" spans="12:23" ht="16.5" thickTop="1" thickBot="1" x14ac:dyDescent="0.3">
      <c r="L52" t="s">
        <v>164</v>
      </c>
      <c r="N52" t="s">
        <v>164</v>
      </c>
      <c r="R52" s="143">
        <f>IF(ISERROR(P51),0,IF(AND(N40=N37,L28=L25,L18=L15),VLOOKUP(P51,P38:T47,O54,FALSE),0))</f>
        <v>0</v>
      </c>
    </row>
    <row r="53" spans="12:23" ht="16.5" thickTop="1" thickBot="1" x14ac:dyDescent="0.3">
      <c r="L53" t="s">
        <v>194</v>
      </c>
      <c r="N53" t="s">
        <v>194</v>
      </c>
    </row>
    <row r="54" spans="12:23" ht="16.5" thickTop="1" thickBot="1" x14ac:dyDescent="0.3">
      <c r="L54" s="269" t="str">
        <f>IF(OR(Calculator!I90="X",Calculator!I90="x"),Calculator!K90,Calculator!K92)</f>
        <v>Smoker</v>
      </c>
      <c r="M54" s="270">
        <f>IF(AND(L46=L43,OR(L54=L49,L54=L51)),2,IF(AND(L46=L43,OR(L54=L50,L54=L52)),3,IF(AND(L46=L44,OR(L54=L49,L54=L51)),4,5)))</f>
        <v>3</v>
      </c>
      <c r="N54" s="270" t="str">
        <f>IF(OR(Calculator!I107="X",Calculator!I107="x"),Calculator!K107,Calculator!K109)</f>
        <v>Smoker</v>
      </c>
      <c r="O54" s="271">
        <f>IF(AND(N46=N43,OR(N54=N49,N54=N51)),2,IF(AND(N46=N43,OR(N54=N50,N54=N52)),3,IF(AND(N46=N44,OR(N54=N49,N54=N51)),4,5)))</f>
        <v>5</v>
      </c>
      <c r="R54" s="111"/>
    </row>
    <row r="55" spans="12:23" ht="15.75" thickTop="1" x14ac:dyDescent="0.25">
      <c r="R55" s="111"/>
    </row>
    <row r="56" spans="12:23" x14ac:dyDescent="0.25">
      <c r="L56" t="s">
        <v>257</v>
      </c>
    </row>
    <row r="57" spans="12:23" x14ac:dyDescent="0.25">
      <c r="L57" t="s">
        <v>258</v>
      </c>
    </row>
    <row r="58" spans="12:23" ht="15.75" thickBot="1" x14ac:dyDescent="0.3"/>
    <row r="59" spans="12:23" ht="15.75" thickTop="1" x14ac:dyDescent="0.25">
      <c r="O59" s="188">
        <v>18</v>
      </c>
      <c r="P59" s="190" t="s">
        <v>259</v>
      </c>
    </row>
    <row r="60" spans="12:23" x14ac:dyDescent="0.25">
      <c r="O60" s="272">
        <v>19</v>
      </c>
      <c r="P60" s="273" t="s">
        <v>259</v>
      </c>
    </row>
    <row r="61" spans="12:23" x14ac:dyDescent="0.25">
      <c r="O61" s="272">
        <v>20</v>
      </c>
      <c r="P61" s="273" t="s">
        <v>259</v>
      </c>
    </row>
    <row r="62" spans="12:23" x14ac:dyDescent="0.25">
      <c r="O62" s="272">
        <v>21</v>
      </c>
      <c r="P62" s="273" t="s">
        <v>259</v>
      </c>
    </row>
    <row r="63" spans="12:23" x14ac:dyDescent="0.25">
      <c r="O63" s="272">
        <v>22</v>
      </c>
      <c r="P63" s="273" t="s">
        <v>259</v>
      </c>
    </row>
    <row r="64" spans="12:23" x14ac:dyDescent="0.25">
      <c r="O64" s="272">
        <v>23</v>
      </c>
      <c r="P64" s="273" t="s">
        <v>259</v>
      </c>
    </row>
    <row r="65" spans="15:16" x14ac:dyDescent="0.25">
      <c r="O65" s="272">
        <v>24</v>
      </c>
      <c r="P65" s="273" t="s">
        <v>259</v>
      </c>
    </row>
    <row r="66" spans="15:16" x14ac:dyDescent="0.25">
      <c r="O66" s="272">
        <v>25</v>
      </c>
      <c r="P66" s="273" t="s">
        <v>260</v>
      </c>
    </row>
    <row r="67" spans="15:16" x14ac:dyDescent="0.25">
      <c r="O67" s="272">
        <v>26</v>
      </c>
      <c r="P67" s="273" t="s">
        <v>260</v>
      </c>
    </row>
    <row r="68" spans="15:16" x14ac:dyDescent="0.25">
      <c r="O68" s="272">
        <v>27</v>
      </c>
      <c r="P68" s="273" t="s">
        <v>260</v>
      </c>
    </row>
    <row r="69" spans="15:16" x14ac:dyDescent="0.25">
      <c r="O69" s="272">
        <v>28</v>
      </c>
      <c r="P69" s="273" t="s">
        <v>260</v>
      </c>
    </row>
    <row r="70" spans="15:16" x14ac:dyDescent="0.25">
      <c r="O70" s="272">
        <v>29</v>
      </c>
      <c r="P70" s="273" t="s">
        <v>260</v>
      </c>
    </row>
    <row r="71" spans="15:16" x14ac:dyDescent="0.25">
      <c r="O71" s="272">
        <v>30</v>
      </c>
      <c r="P71" s="273" t="s">
        <v>261</v>
      </c>
    </row>
    <row r="72" spans="15:16" x14ac:dyDescent="0.25">
      <c r="O72" s="272">
        <v>31</v>
      </c>
      <c r="P72" s="273" t="s">
        <v>261</v>
      </c>
    </row>
    <row r="73" spans="15:16" x14ac:dyDescent="0.25">
      <c r="O73" s="272">
        <v>32</v>
      </c>
      <c r="P73" s="273" t="s">
        <v>261</v>
      </c>
    </row>
    <row r="74" spans="15:16" x14ac:dyDescent="0.25">
      <c r="O74" s="272">
        <v>33</v>
      </c>
      <c r="P74" s="273" t="s">
        <v>261</v>
      </c>
    </row>
    <row r="75" spans="15:16" x14ac:dyDescent="0.25">
      <c r="O75" s="272">
        <v>34</v>
      </c>
      <c r="P75" s="273" t="s">
        <v>261</v>
      </c>
    </row>
    <row r="76" spans="15:16" x14ac:dyDescent="0.25">
      <c r="O76" s="272">
        <v>35</v>
      </c>
      <c r="P76" s="273" t="s">
        <v>262</v>
      </c>
    </row>
    <row r="77" spans="15:16" x14ac:dyDescent="0.25">
      <c r="O77" s="272">
        <v>36</v>
      </c>
      <c r="P77" s="273" t="s">
        <v>262</v>
      </c>
    </row>
    <row r="78" spans="15:16" x14ac:dyDescent="0.25">
      <c r="O78" s="272">
        <v>37</v>
      </c>
      <c r="P78" s="273" t="s">
        <v>262</v>
      </c>
    </row>
    <row r="79" spans="15:16" x14ac:dyDescent="0.25">
      <c r="O79" s="272">
        <v>38</v>
      </c>
      <c r="P79" s="273" t="s">
        <v>262</v>
      </c>
    </row>
    <row r="80" spans="15:16" x14ac:dyDescent="0.25">
      <c r="O80" s="272">
        <v>39</v>
      </c>
      <c r="P80" s="273" t="s">
        <v>262</v>
      </c>
    </row>
    <row r="81" spans="15:16" x14ac:dyDescent="0.25">
      <c r="O81" s="272">
        <v>40</v>
      </c>
      <c r="P81" s="273" t="s">
        <v>263</v>
      </c>
    </row>
    <row r="82" spans="15:16" x14ac:dyDescent="0.25">
      <c r="O82" s="272">
        <v>41</v>
      </c>
      <c r="P82" s="273" t="s">
        <v>263</v>
      </c>
    </row>
    <row r="83" spans="15:16" x14ac:dyDescent="0.25">
      <c r="O83" s="272">
        <v>42</v>
      </c>
      <c r="P83" s="273" t="s">
        <v>263</v>
      </c>
    </row>
    <row r="84" spans="15:16" x14ac:dyDescent="0.25">
      <c r="O84" s="272">
        <v>43</v>
      </c>
      <c r="P84" s="273" t="s">
        <v>263</v>
      </c>
    </row>
    <row r="85" spans="15:16" x14ac:dyDescent="0.25">
      <c r="O85" s="272">
        <v>44</v>
      </c>
      <c r="P85" s="273" t="s">
        <v>263</v>
      </c>
    </row>
    <row r="86" spans="15:16" x14ac:dyDescent="0.25">
      <c r="O86" s="272">
        <v>45</v>
      </c>
      <c r="P86" s="273" t="s">
        <v>253</v>
      </c>
    </row>
    <row r="87" spans="15:16" x14ac:dyDescent="0.25">
      <c r="O87" s="272">
        <v>46</v>
      </c>
      <c r="P87" s="273" t="s">
        <v>253</v>
      </c>
    </row>
    <row r="88" spans="15:16" x14ac:dyDescent="0.25">
      <c r="O88" s="272">
        <v>47</v>
      </c>
      <c r="P88" s="273" t="s">
        <v>253</v>
      </c>
    </row>
    <row r="89" spans="15:16" x14ac:dyDescent="0.25">
      <c r="O89" s="272">
        <v>48</v>
      </c>
      <c r="P89" s="273" t="s">
        <v>253</v>
      </c>
    </row>
    <row r="90" spans="15:16" x14ac:dyDescent="0.25">
      <c r="O90" s="272">
        <v>49</v>
      </c>
      <c r="P90" s="273" t="s">
        <v>253</v>
      </c>
    </row>
    <row r="91" spans="15:16" x14ac:dyDescent="0.25">
      <c r="O91" s="272">
        <v>50</v>
      </c>
      <c r="P91" s="273" t="s">
        <v>264</v>
      </c>
    </row>
    <row r="92" spans="15:16" x14ac:dyDescent="0.25">
      <c r="O92" s="272">
        <v>51</v>
      </c>
      <c r="P92" s="273" t="s">
        <v>264</v>
      </c>
    </row>
    <row r="93" spans="15:16" x14ac:dyDescent="0.25">
      <c r="O93" s="272">
        <v>52</v>
      </c>
      <c r="P93" s="273" t="s">
        <v>264</v>
      </c>
    </row>
    <row r="94" spans="15:16" x14ac:dyDescent="0.25">
      <c r="O94" s="272">
        <v>53</v>
      </c>
      <c r="P94" s="273" t="s">
        <v>264</v>
      </c>
    </row>
    <row r="95" spans="15:16" x14ac:dyDescent="0.25">
      <c r="O95" s="272">
        <v>54</v>
      </c>
      <c r="P95" s="273" t="s">
        <v>264</v>
      </c>
    </row>
    <row r="96" spans="15:16" x14ac:dyDescent="0.25">
      <c r="O96" s="272">
        <v>55</v>
      </c>
      <c r="P96" s="273" t="s">
        <v>265</v>
      </c>
    </row>
    <row r="97" spans="15:16" x14ac:dyDescent="0.25">
      <c r="O97" s="272">
        <v>56</v>
      </c>
      <c r="P97" s="273" t="s">
        <v>265</v>
      </c>
    </row>
    <row r="98" spans="15:16" x14ac:dyDescent="0.25">
      <c r="O98" s="272">
        <v>57</v>
      </c>
      <c r="P98" s="273" t="s">
        <v>265</v>
      </c>
    </row>
    <row r="99" spans="15:16" x14ac:dyDescent="0.25">
      <c r="O99" s="272">
        <v>58</v>
      </c>
      <c r="P99" s="273" t="s">
        <v>265</v>
      </c>
    </row>
    <row r="100" spans="15:16" x14ac:dyDescent="0.25">
      <c r="O100" s="272">
        <v>59</v>
      </c>
      <c r="P100" s="273" t="s">
        <v>265</v>
      </c>
    </row>
    <row r="101" spans="15:16" x14ac:dyDescent="0.25">
      <c r="O101" s="272">
        <v>60</v>
      </c>
      <c r="P101" s="273" t="s">
        <v>266</v>
      </c>
    </row>
    <row r="102" spans="15:16" x14ac:dyDescent="0.25">
      <c r="O102" s="272">
        <v>61</v>
      </c>
      <c r="P102" s="273" t="s">
        <v>266</v>
      </c>
    </row>
    <row r="103" spans="15:16" x14ac:dyDescent="0.25">
      <c r="O103" s="272">
        <v>62</v>
      </c>
      <c r="P103" s="273" t="s">
        <v>266</v>
      </c>
    </row>
    <row r="104" spans="15:16" x14ac:dyDescent="0.25">
      <c r="O104" s="272">
        <v>63</v>
      </c>
      <c r="P104" s="273" t="s">
        <v>266</v>
      </c>
    </row>
    <row r="105" spans="15:16" x14ac:dyDescent="0.25">
      <c r="O105" s="272">
        <v>64</v>
      </c>
      <c r="P105" s="273" t="s">
        <v>266</v>
      </c>
    </row>
    <row r="106" spans="15:16" x14ac:dyDescent="0.25">
      <c r="O106" s="272">
        <v>65</v>
      </c>
      <c r="P106" s="273" t="s">
        <v>267</v>
      </c>
    </row>
    <row r="107" spans="15:16" x14ac:dyDescent="0.25">
      <c r="O107" s="272">
        <v>66</v>
      </c>
      <c r="P107" s="273" t="s">
        <v>267</v>
      </c>
    </row>
    <row r="108" spans="15:16" x14ac:dyDescent="0.25">
      <c r="O108" s="272">
        <v>67</v>
      </c>
      <c r="P108" s="273" t="s">
        <v>267</v>
      </c>
    </row>
    <row r="109" spans="15:16" x14ac:dyDescent="0.25">
      <c r="O109" s="272">
        <v>68</v>
      </c>
      <c r="P109" s="273" t="s">
        <v>267</v>
      </c>
    </row>
    <row r="110" spans="15:16" ht="15.75" thickBot="1" x14ac:dyDescent="0.3">
      <c r="O110" s="274">
        <v>69</v>
      </c>
      <c r="P110" s="275" t="s">
        <v>267</v>
      </c>
    </row>
    <row r="111" spans="15:16" ht="15.75" thickTop="1" x14ac:dyDescent="0.25"/>
  </sheetData>
  <sortState xmlns:xlrd2="http://schemas.microsoft.com/office/spreadsheetml/2017/richdata2" ref="B32:C35">
    <sortCondition ref="B31"/>
  </sortState>
  <mergeCells count="2">
    <mergeCell ref="Q36:R36"/>
    <mergeCell ref="S36:T36"/>
  </mergeCells>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5</vt:i4>
      </vt:variant>
      <vt:variant>
        <vt:lpstr>Plages nommées</vt:lpstr>
      </vt:variant>
      <vt:variant>
        <vt:i4>7</vt:i4>
      </vt:variant>
    </vt:vector>
  </HeadingPairs>
  <TitlesOfParts>
    <vt:vector size="12" baseType="lpstr">
      <vt:lpstr>Calculateur</vt:lpstr>
      <vt:lpstr>Calculator</vt:lpstr>
      <vt:lpstr>Nouveau taux</vt:lpstr>
      <vt:lpstr>Taux</vt:lpstr>
      <vt:lpstr>Taux anglais</vt:lpstr>
      <vt:lpstr>Courte_LaSalle</vt:lpstr>
      <vt:lpstr>Courte_Laval</vt:lpstr>
      <vt:lpstr>Courte_Les_autres</vt:lpstr>
      <vt:lpstr>Courte_Trinité</vt:lpstr>
      <vt:lpstr>Taux_courte</vt:lpstr>
      <vt:lpstr>Taux_courte_anglais</vt:lpstr>
      <vt:lpstr>Calculateur!Zone_d_impression</vt:lpstr>
    </vt:vector>
  </TitlesOfParts>
  <Company>CSN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Yves Sabourin</dc:creator>
  <cp:lastModifiedBy>Lespérance Simon</cp:lastModifiedBy>
  <cp:lastPrinted>2014-11-03T22:35:13Z</cp:lastPrinted>
  <dcterms:created xsi:type="dcterms:W3CDTF">2012-08-16T15:50:10Z</dcterms:created>
  <dcterms:modified xsi:type="dcterms:W3CDTF">2023-10-11T18:27:55Z</dcterms:modified>
</cp:coreProperties>
</file>