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T:\FNEEQ_General\COMITÉS FÉDÉRAUX\RSA, Guides,  Assurances, etc\2024-2027\2025 - 11 et 12 septembre 2025\RETOUR DE CONSULTATION\"/>
    </mc:Choice>
  </mc:AlternateContent>
  <xr:revisionPtr revIDLastSave="0" documentId="8_{A72ADE06-B1C3-4417-8B4B-0D056F0EBEE2}" xr6:coauthVersionLast="47" xr6:coauthVersionMax="47" xr10:uidLastSave="{00000000-0000-0000-0000-000000000000}"/>
  <bookViews>
    <workbookView xWindow="-28920" yWindow="-60" windowWidth="29040" windowHeight="15720" tabRatio="707" xr2:uid="{00000000-000D-0000-FFFF-FFFF00000000}"/>
  </bookViews>
  <sheets>
    <sheet name="Calculateur" sheetId="1" r:id="rId1"/>
    <sheet name="Calculator" sheetId="9" state="hidden" r:id="rId2"/>
    <sheet name="Nouveau taux" sheetId="5" state="hidden" r:id="rId3"/>
    <sheet name="Taux" sheetId="2" state="hidden" r:id="rId4"/>
    <sheet name="Taux anglais" sheetId="8" state="hidden" r:id="rId5"/>
  </sheets>
  <definedNames>
    <definedName name="Courte_LaSalle">Taux!$C$32</definedName>
    <definedName name="Courte_Laval">Taux!$C$31</definedName>
    <definedName name="Courte_Les_autres">Taux!$C$35</definedName>
    <definedName name="Courte_Trinité">Taux!$C$33</definedName>
    <definedName name="Taux_courte">Taux!$B$31:$C$36</definedName>
    <definedName name="Taux_courte_anglais">'Taux anglais'!$B$32:$C$37</definedName>
    <definedName name="_xlnm.Print_Area" localSheetId="0">Calculateur!$A$3:$AD$123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2" i="9" l="1"/>
  <c r="P51" i="8" s="1"/>
  <c r="M107" i="9"/>
  <c r="M100" i="9"/>
  <c r="M90" i="9"/>
  <c r="M83" i="9"/>
  <c r="W56" i="9"/>
  <c r="O36" i="9"/>
  <c r="O37" i="1"/>
  <c r="X57" i="1"/>
  <c r="B93" i="1"/>
  <c r="P51" i="2" s="1"/>
  <c r="N108" i="1"/>
  <c r="N101" i="1"/>
  <c r="N91" i="1"/>
  <c r="N84" i="1"/>
  <c r="O111" i="2"/>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Q48" i="2"/>
  <c r="Q48" i="8" s="1"/>
  <c r="R48" i="2"/>
  <c r="R48" i="8" s="1"/>
  <c r="S48" i="2"/>
  <c r="S48" i="8" s="1"/>
  <c r="T48" i="2"/>
  <c r="T48" i="8" s="1"/>
  <c r="Q49" i="2"/>
  <c r="Q49" i="8" s="1"/>
  <c r="R49" i="2"/>
  <c r="R49" i="8" s="1"/>
  <c r="S49" i="2"/>
  <c r="S49" i="8" s="1"/>
  <c r="T49" i="2"/>
  <c r="T49" i="8" s="1"/>
  <c r="V49" i="9"/>
  <c r="V60" i="9" s="1"/>
  <c r="V50" i="1"/>
  <c r="V61" i="1" s="1"/>
  <c r="B104" i="9"/>
  <c r="B105" i="1"/>
  <c r="B87" i="9"/>
  <c r="B88" i="1"/>
  <c r="C32" i="2"/>
  <c r="C33" i="8" s="1"/>
  <c r="C33" i="2"/>
  <c r="C34" i="8" s="1"/>
  <c r="C34" i="2"/>
  <c r="C35" i="8" s="1"/>
  <c r="C35" i="2"/>
  <c r="C36" i="8" s="1"/>
  <c r="C36" i="2"/>
  <c r="C37" i="8" s="1"/>
  <c r="C31" i="2"/>
  <c r="C32" i="8" s="1"/>
  <c r="Q4" i="2"/>
  <c r="Q5" i="2"/>
  <c r="Q6" i="2"/>
  <c r="Q7" i="2"/>
  <c r="P5" i="2"/>
  <c r="P6" i="2"/>
  <c r="P7" i="2"/>
  <c r="P4" i="2"/>
  <c r="K28" i="2"/>
  <c r="Q39" i="2"/>
  <c r="R39" i="2"/>
  <c r="S39" i="2"/>
  <c r="T39" i="2"/>
  <c r="Q40" i="2"/>
  <c r="R40" i="2"/>
  <c r="S40" i="2"/>
  <c r="T40" i="2"/>
  <c r="Q41" i="2"/>
  <c r="R41" i="2"/>
  <c r="S41" i="2"/>
  <c r="T41" i="2"/>
  <c r="Q42" i="2"/>
  <c r="R42" i="2"/>
  <c r="S42" i="2"/>
  <c r="T42" i="2"/>
  <c r="Q43" i="2"/>
  <c r="R43" i="2"/>
  <c r="S43" i="2"/>
  <c r="T43" i="2"/>
  <c r="Q44" i="2"/>
  <c r="R44" i="2"/>
  <c r="S44" i="2"/>
  <c r="T44" i="2"/>
  <c r="Q45" i="2"/>
  <c r="R45" i="2"/>
  <c r="S45" i="2"/>
  <c r="T45" i="2"/>
  <c r="Q46" i="2"/>
  <c r="R46" i="2"/>
  <c r="S46" i="2"/>
  <c r="T46" i="2"/>
  <c r="Q47" i="2"/>
  <c r="R47" i="2"/>
  <c r="S47" i="2"/>
  <c r="T47" i="2"/>
  <c r="R38" i="2"/>
  <c r="S38" i="2"/>
  <c r="T38" i="2"/>
  <c r="Q38" i="2"/>
  <c r="G18" i="2"/>
  <c r="G16" i="2"/>
  <c r="H10" i="2"/>
  <c r="I10" i="2"/>
  <c r="H11" i="2"/>
  <c r="I11" i="2"/>
  <c r="H12" i="2"/>
  <c r="I12" i="2"/>
  <c r="H13" i="2"/>
  <c r="I13" i="2"/>
  <c r="G11" i="2"/>
  <c r="G12" i="2"/>
  <c r="G13" i="2"/>
  <c r="G10" i="2"/>
  <c r="H4" i="2"/>
  <c r="I4" i="2"/>
  <c r="H5" i="2"/>
  <c r="I5" i="2"/>
  <c r="H6" i="2"/>
  <c r="I6" i="2"/>
  <c r="H7" i="2"/>
  <c r="I7" i="2"/>
  <c r="G5" i="2"/>
  <c r="G6" i="2"/>
  <c r="G7" i="2"/>
  <c r="G4" i="2"/>
  <c r="W19" i="9" l="1"/>
  <c r="W19" i="1"/>
  <c r="D25" i="9"/>
  <c r="D25" i="1"/>
  <c r="V7" i="9"/>
  <c r="M7" i="9"/>
  <c r="M19" i="9"/>
  <c r="W9" i="1"/>
  <c r="M9" i="1"/>
  <c r="M19" i="1"/>
  <c r="F27" i="8"/>
  <c r="D42" i="9"/>
  <c r="D43" i="1"/>
  <c r="F27" i="2" s="1"/>
  <c r="D41" i="1"/>
  <c r="G27" i="2" l="1"/>
  <c r="V30" i="1" s="1"/>
  <c r="M7" i="5"/>
  <c r="M5" i="5"/>
  <c r="Q15" i="2" s="1"/>
  <c r="M6" i="5"/>
  <c r="Q16" i="2" s="1"/>
  <c r="P25" i="2" l="1"/>
  <c r="P25" i="8"/>
  <c r="C20" i="5" l="1"/>
  <c r="G17" i="2" s="1"/>
  <c r="G19" i="2"/>
  <c r="C9" i="8" l="1"/>
  <c r="S19" i="9" s="1"/>
  <c r="C9" i="2"/>
  <c r="S19" i="1" s="1"/>
  <c r="G27" i="8" l="1"/>
  <c r="V29" i="9" s="1"/>
  <c r="D39" i="1" l="1"/>
  <c r="D37" i="1"/>
  <c r="D35" i="1"/>
  <c r="D40" i="9"/>
  <c r="D38" i="9"/>
  <c r="D36" i="9"/>
  <c r="D34" i="9"/>
  <c r="L46" i="2"/>
  <c r="B110" i="9" l="1"/>
  <c r="D6" i="2"/>
  <c r="D9" i="2" s="1"/>
  <c r="R19" i="2" l="1"/>
  <c r="S57" i="1" s="1"/>
  <c r="B111" i="1"/>
  <c r="L4" i="1"/>
  <c r="W63" i="1" l="1"/>
  <c r="D66" i="1"/>
  <c r="Q6" i="1" l="1"/>
  <c r="V4" i="1"/>
  <c r="R4" i="1"/>
  <c r="Q3" i="1" s="1"/>
  <c r="AC37" i="1" l="1"/>
  <c r="AC39" i="1" l="1"/>
  <c r="AC41" i="1"/>
  <c r="I19" i="2"/>
  <c r="H19" i="2"/>
  <c r="E21" i="5"/>
  <c r="I18" i="2" s="1"/>
  <c r="D21" i="5"/>
  <c r="H18" i="2" s="1"/>
  <c r="E20" i="5"/>
  <c r="I17" i="2" s="1"/>
  <c r="D20" i="5"/>
  <c r="H17" i="2" s="1"/>
  <c r="E19" i="5"/>
  <c r="I16" i="2" s="1"/>
  <c r="D19" i="5"/>
  <c r="H16" i="2" s="1"/>
  <c r="AA27" i="1"/>
  <c r="X107" i="9" l="1"/>
  <c r="W50" i="8" s="1"/>
  <c r="X100" i="9"/>
  <c r="F100" i="9"/>
  <c r="W38" i="8"/>
  <c r="W39" i="8" s="1"/>
  <c r="W40" i="8" s="1"/>
  <c r="W41" i="8" s="1"/>
  <c r="W42" i="8" s="1"/>
  <c r="W43" i="8" s="1"/>
  <c r="W44" i="8" s="1"/>
  <c r="W45" i="8" s="1"/>
  <c r="W46" i="8" s="1"/>
  <c r="V38" i="8"/>
  <c r="V39" i="8" s="1"/>
  <c r="V40" i="8" s="1"/>
  <c r="V41" i="8" s="1"/>
  <c r="V42" i="8" s="1"/>
  <c r="V43" i="8" s="1"/>
  <c r="P53" i="8"/>
  <c r="X90" i="9"/>
  <c r="W48" i="8" s="1"/>
  <c r="X83" i="9"/>
  <c r="F83" i="9"/>
  <c r="F73" i="9"/>
  <c r="Q17" i="8"/>
  <c r="F60" i="9"/>
  <c r="F47" i="9"/>
  <c r="N40" i="8"/>
  <c r="N46" i="8"/>
  <c r="N54" i="8"/>
  <c r="L54" i="8"/>
  <c r="L46" i="8"/>
  <c r="L40" i="8"/>
  <c r="L28" i="8"/>
  <c r="L18" i="8"/>
  <c r="L9" i="8"/>
  <c r="I31" i="8"/>
  <c r="B9" i="8"/>
  <c r="Y83" i="9" l="1"/>
  <c r="V69" i="9"/>
  <c r="Y100" i="9"/>
  <c r="V45" i="8"/>
  <c r="Y80" i="9" s="1"/>
  <c r="Y97" i="9"/>
  <c r="V47" i="8"/>
  <c r="M54" i="8"/>
  <c r="O54" i="8"/>
  <c r="R45" i="8" l="1"/>
  <c r="R44" i="8"/>
  <c r="R42" i="8"/>
  <c r="Q38" i="8"/>
  <c r="R39" i="8" l="1"/>
  <c r="R43" i="8"/>
  <c r="R46" i="8"/>
  <c r="S38" i="8"/>
  <c r="S39" i="8"/>
  <c r="S40" i="8"/>
  <c r="S41" i="8"/>
  <c r="S42" i="8"/>
  <c r="S43" i="8"/>
  <c r="S44" i="8"/>
  <c r="S45" i="8"/>
  <c r="S46" i="8"/>
  <c r="S47" i="8"/>
  <c r="R38" i="8"/>
  <c r="R41" i="8"/>
  <c r="T38" i="8"/>
  <c r="T39" i="8"/>
  <c r="T40" i="8"/>
  <c r="T41" i="8"/>
  <c r="T42" i="8"/>
  <c r="T43" i="8"/>
  <c r="T44" i="8"/>
  <c r="T45" i="8"/>
  <c r="T46" i="8"/>
  <c r="T47" i="8"/>
  <c r="R40" i="8"/>
  <c r="R47" i="8"/>
  <c r="Q39" i="8"/>
  <c r="Q40" i="8"/>
  <c r="Q41" i="8"/>
  <c r="Q42" i="8"/>
  <c r="Q43" i="8"/>
  <c r="Q44" i="8"/>
  <c r="Q45" i="8"/>
  <c r="Q46" i="8"/>
  <c r="Q47" i="8"/>
  <c r="K28" i="8"/>
  <c r="I33" i="8" s="1"/>
  <c r="V46" i="9" s="1"/>
  <c r="AB49" i="9" s="1"/>
  <c r="AB52" i="9" s="1"/>
  <c r="R54" i="8" l="1"/>
  <c r="V97" i="9" s="1"/>
  <c r="AB107" i="9" s="1"/>
  <c r="AB110" i="9" s="1"/>
  <c r="G4" i="8"/>
  <c r="AB51" i="9"/>
  <c r="AB36" i="9"/>
  <c r="AB40" i="9" s="1"/>
  <c r="AB109" i="9" l="1"/>
  <c r="AB38" i="9"/>
  <c r="Q16" i="8"/>
  <c r="P5" i="8"/>
  <c r="P6" i="8"/>
  <c r="P7" i="8"/>
  <c r="O11" i="8" s="1"/>
  <c r="AB23" i="9" s="1"/>
  <c r="I10" i="8"/>
  <c r="G13" i="8"/>
  <c r="I12" i="8"/>
  <c r="H11" i="8"/>
  <c r="I7" i="8"/>
  <c r="H7" i="8"/>
  <c r="F22" i="8" s="1"/>
  <c r="G7" i="8"/>
  <c r="H6" i="8"/>
  <c r="G6" i="8"/>
  <c r="I5" i="8"/>
  <c r="H5" i="8"/>
  <c r="G5" i="8"/>
  <c r="I4" i="8"/>
  <c r="H4" i="8"/>
  <c r="Q7" i="8"/>
  <c r="Q6" i="8"/>
  <c r="Q5" i="8"/>
  <c r="Q4" i="8"/>
  <c r="P4" i="8"/>
  <c r="I19" i="8"/>
  <c r="H19" i="8"/>
  <c r="G19" i="8"/>
  <c r="H18" i="8"/>
  <c r="G18" i="8"/>
  <c r="I17" i="8"/>
  <c r="H17" i="8"/>
  <c r="G17" i="8"/>
  <c r="I16" i="8"/>
  <c r="H16" i="8"/>
  <c r="K103" i="1"/>
  <c r="K101" i="1"/>
  <c r="D103" i="1"/>
  <c r="D101" i="1"/>
  <c r="K86" i="1"/>
  <c r="K84" i="1"/>
  <c r="D86" i="1"/>
  <c r="D84" i="1"/>
  <c r="D63" i="1"/>
  <c r="D61" i="1"/>
  <c r="D23" i="1"/>
  <c r="D21" i="1"/>
  <c r="D19" i="1"/>
  <c r="S13" i="1"/>
  <c r="S11" i="1"/>
  <c r="S9" i="1"/>
  <c r="D15" i="1"/>
  <c r="D13" i="1"/>
  <c r="D11" i="1"/>
  <c r="D9" i="1"/>
  <c r="N46" i="2"/>
  <c r="K108" i="1" s="1"/>
  <c r="N40" i="2"/>
  <c r="L40" i="2"/>
  <c r="F61" i="1"/>
  <c r="Y108" i="1"/>
  <c r="W50" i="2" s="1"/>
  <c r="Y101" i="1"/>
  <c r="V47" i="2" s="1"/>
  <c r="F101" i="1"/>
  <c r="F84" i="1"/>
  <c r="K93" i="1"/>
  <c r="O60" i="2"/>
  <c r="O61" i="2" s="1"/>
  <c r="Y91" i="1"/>
  <c r="W48" i="2" s="1"/>
  <c r="Y84" i="1"/>
  <c r="V45" i="2" s="1"/>
  <c r="L28" i="2"/>
  <c r="F74" i="1"/>
  <c r="D76" i="1"/>
  <c r="D74" i="1"/>
  <c r="S59" i="1"/>
  <c r="L18" i="2"/>
  <c r="V70" i="1" s="1"/>
  <c r="D50" i="1"/>
  <c r="D48" i="1"/>
  <c r="I31" i="2" s="1"/>
  <c r="I33" i="2" s="1"/>
  <c r="F48" i="1"/>
  <c r="L9" i="2"/>
  <c r="AB26" i="9" l="1"/>
  <c r="D16" i="8"/>
  <c r="F24" i="8"/>
  <c r="G10" i="8"/>
  <c r="C17" i="8"/>
  <c r="B19" i="8"/>
  <c r="H12" i="8"/>
  <c r="C18" i="8" s="1"/>
  <c r="G16" i="8"/>
  <c r="H13" i="8"/>
  <c r="C19" i="8" s="1"/>
  <c r="G12" i="8"/>
  <c r="B18" i="8" s="1"/>
  <c r="I18" i="8"/>
  <c r="D18" i="8" s="1"/>
  <c r="G11" i="8"/>
  <c r="B17" i="8" s="1"/>
  <c r="I13" i="8"/>
  <c r="D19" i="8" s="1"/>
  <c r="I6" i="8"/>
  <c r="H10" i="8"/>
  <c r="C16" i="8" s="1"/>
  <c r="I11" i="8"/>
  <c r="D17" i="8" s="1"/>
  <c r="K110" i="1"/>
  <c r="N54" i="2" s="1"/>
  <c r="O54" i="2" s="1"/>
  <c r="K91" i="1"/>
  <c r="L54" i="2" s="1"/>
  <c r="M54" i="2" s="1"/>
  <c r="N21" i="2"/>
  <c r="R52" i="2" s="1"/>
  <c r="O62" i="2"/>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G78" i="1"/>
  <c r="Z98" i="1"/>
  <c r="Z101" i="1"/>
  <c r="Z84" i="1"/>
  <c r="X31" i="2" l="1"/>
  <c r="B16" i="2"/>
  <c r="AB25" i="9"/>
  <c r="B16" i="8"/>
  <c r="P53" i="2"/>
  <c r="R54" i="2" s="1"/>
  <c r="B9" i="2"/>
  <c r="V98" i="1" l="1"/>
  <c r="AC108" i="1" s="1"/>
  <c r="AC111" i="1" s="1"/>
  <c r="Z81" i="1"/>
  <c r="AC110" i="1" l="1"/>
  <c r="C16" i="2"/>
  <c r="D16" i="2"/>
  <c r="C17" i="2"/>
  <c r="D17" i="2"/>
  <c r="C18" i="2"/>
  <c r="D18" i="2"/>
  <c r="C19" i="2"/>
  <c r="D19" i="2"/>
  <c r="B17" i="2"/>
  <c r="B18" i="2"/>
  <c r="B19" i="2"/>
  <c r="V47" i="1"/>
  <c r="AC50" i="1" s="1"/>
  <c r="AC53" i="1" s="1"/>
  <c r="V81" i="1"/>
  <c r="AC91" i="1" s="1"/>
  <c r="AC94" i="1" s="1"/>
  <c r="L30" i="2"/>
  <c r="V38" i="2"/>
  <c r="V39" i="2" s="1"/>
  <c r="V40" i="2" s="1"/>
  <c r="V41" i="2" s="1"/>
  <c r="V42" i="2" s="1"/>
  <c r="V43" i="2" s="1"/>
  <c r="W38" i="2"/>
  <c r="W39" i="2" s="1"/>
  <c r="W40" i="2" s="1"/>
  <c r="W41" i="2" s="1"/>
  <c r="W42" i="2" s="1"/>
  <c r="W43" i="2" s="1"/>
  <c r="W44" i="2" s="1"/>
  <c r="W45" i="2" s="1"/>
  <c r="W46" i="2" s="1"/>
  <c r="AC74" i="1" l="1"/>
  <c r="AC78" i="1" s="1"/>
  <c r="L30" i="8"/>
  <c r="AB73" i="9" s="1"/>
  <c r="AB76" i="9" s="1"/>
  <c r="F22" i="2"/>
  <c r="AC11" i="1" s="1"/>
  <c r="AC15" i="1" s="1"/>
  <c r="AC93" i="1"/>
  <c r="AC13" i="1" l="1"/>
  <c r="AC76" i="1"/>
  <c r="AB75" i="9"/>
  <c r="F24" i="2"/>
  <c r="O11" i="2"/>
  <c r="AC23" i="1" s="1"/>
  <c r="AC52" i="1"/>
  <c r="AC26" i="1" l="1"/>
  <c r="AC25" i="1" l="1"/>
  <c r="Q17" i="2" l="1"/>
  <c r="Q18" i="2" s="1"/>
  <c r="V63" i="1" l="1"/>
  <c r="M21" i="2" l="1"/>
  <c r="Q15" i="8"/>
  <c r="L20" i="2"/>
  <c r="V68" i="1" s="1"/>
  <c r="AC66" i="1" s="1"/>
  <c r="AC70" i="1" s="1"/>
  <c r="L20" i="8" l="1"/>
  <c r="V67" i="9" s="1"/>
  <c r="AC114" i="1" l="1"/>
  <c r="AC115" i="1" s="1"/>
  <c r="AC116" i="1" s="1"/>
  <c r="AC120" i="1" s="1"/>
  <c r="AC122" i="1" s="1"/>
  <c r="AC68" i="1"/>
  <c r="V4" i="9"/>
  <c r="R4" i="9" l="1"/>
  <c r="Q5" i="9"/>
  <c r="Q3" i="9"/>
  <c r="AB11" i="9" s="1"/>
  <c r="D6" i="8"/>
  <c r="L4" i="9"/>
  <c r="AB13" i="9" l="1"/>
  <c r="AB15" i="9"/>
  <c r="D9" i="8"/>
  <c r="R19" i="8"/>
  <c r="D65" i="9" l="1"/>
  <c r="S56" i="9"/>
  <c r="W62" i="9"/>
  <c r="S58" i="9"/>
  <c r="N21" i="8" s="1"/>
  <c r="Q18" i="8" l="1"/>
  <c r="Q21" i="8"/>
  <c r="R52" i="8"/>
  <c r="V80" i="9" s="1"/>
  <c r="AB90" i="9" s="1"/>
  <c r="AB93" i="9" l="1"/>
  <c r="AB92" i="9"/>
  <c r="V62" i="9"/>
  <c r="AB65" i="9" s="1"/>
  <c r="M21" i="8"/>
  <c r="AB67" i="9" l="1"/>
  <c r="AB69" i="9"/>
  <c r="AB113" i="9"/>
  <c r="AB114" i="9" s="1"/>
  <c r="AB115" i="9" s="1"/>
  <c r="AB119" i="9" s="1"/>
  <c r="AB121"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Légaré</author>
  </authors>
  <commentList>
    <comment ref="L6" authorId="0" shapeId="0" xr:uid="{00000000-0006-0000-0200-000001000000}">
      <text>
        <r>
          <rPr>
            <b/>
            <sz val="9"/>
            <color indexed="81"/>
            <rFont val="Tahoma"/>
            <family val="2"/>
          </rPr>
          <t>Daniel Légaré:
La prime est de 3,52 $ à laquelle on applique un congé de prime de 50 %.
Le taux par mile : Prime/25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tc={B028F132-4C2E-4520-B3E4-8206E88E59B2}</author>
  </authors>
  <commentList>
    <comment ref="L11" authorId="0" shapeId="0" xr:uid="{B028F132-4C2E-4520-B3E4-8206E88E59B2}">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POur retrouver la formule prendre la version 2021 du calculatueur</t>
      </text>
    </comment>
  </commentList>
</comments>
</file>

<file path=xl/sharedStrings.xml><?xml version="1.0" encoding="utf-8"?>
<sst xmlns="http://schemas.openxmlformats.org/spreadsheetml/2006/main" count="840" uniqueCount="359">
  <si>
    <t>Assurance maladie</t>
  </si>
  <si>
    <t>Assurance invalidité de courte durée</t>
  </si>
  <si>
    <t>Assurance invalidité de longue durée</t>
  </si>
  <si>
    <t>Assurance dentaire</t>
  </si>
  <si>
    <t>Assurance vie de base</t>
  </si>
  <si>
    <t>Module A</t>
  </si>
  <si>
    <t>Module B</t>
  </si>
  <si>
    <t>Module C</t>
  </si>
  <si>
    <t>Je suis couvert par l'assurance de mon conjoint</t>
  </si>
  <si>
    <t>Choix en assurance maladie</t>
  </si>
  <si>
    <t>Réponse choisie</t>
  </si>
  <si>
    <t>Couple</t>
  </si>
  <si>
    <t>Ind</t>
  </si>
  <si>
    <t>Mono</t>
  </si>
  <si>
    <t>Fam</t>
  </si>
  <si>
    <t>Si  65 ans ou plus inscrit à la RAMQ</t>
  </si>
  <si>
    <t>Si  65 ans ou plus qui n'est pas inscrit à la RAMQ</t>
  </si>
  <si>
    <t>Âge et RAMQ</t>
  </si>
  <si>
    <t>Adhérent de moins de 65 ans</t>
  </si>
  <si>
    <t>Adhérent de 65 ans ou + inscrit à la RAMQ</t>
  </si>
  <si>
    <t>Adhérent de 65 ans ou + non inscrit à la RAMQ</t>
  </si>
  <si>
    <t>Si adhérent de moins de 65 ans</t>
  </si>
  <si>
    <t>Assurance vie additionnelle</t>
  </si>
  <si>
    <t>Syndicat choisi</t>
  </si>
  <si>
    <t>Taux par 1000$</t>
  </si>
  <si>
    <t>Choix en assurance dentaire</t>
  </si>
  <si>
    <t>Option 1</t>
  </si>
  <si>
    <t>Option 2</t>
  </si>
  <si>
    <t>Aucune option</t>
  </si>
  <si>
    <t>Test sur la réponse</t>
  </si>
  <si>
    <t>Aucun de ceux-ci</t>
  </si>
  <si>
    <t>Souscrit à l'assurance?</t>
  </si>
  <si>
    <t>Oui</t>
  </si>
  <si>
    <t>Non</t>
  </si>
  <si>
    <t>Taux par paie</t>
  </si>
  <si>
    <t>Choix en assurance vie de base</t>
  </si>
  <si>
    <t>Catégorie d'âge</t>
  </si>
  <si>
    <t>Autres informations</t>
  </si>
  <si>
    <t>Choix en assurance vie additionnelle</t>
  </si>
  <si>
    <t>Sexe</t>
  </si>
  <si>
    <t>Homme</t>
  </si>
  <si>
    <t>Femme</t>
  </si>
  <si>
    <t>Fumeur/Non fumeur</t>
  </si>
  <si>
    <t>Non fumeur</t>
  </si>
  <si>
    <t>Fumeur</t>
  </si>
  <si>
    <t>Tableau des taux</t>
  </si>
  <si>
    <t>âge</t>
  </si>
  <si>
    <t>Non fumeuse</t>
  </si>
  <si>
    <t>Fumeuse</t>
  </si>
  <si>
    <t>Moins de 25 ans</t>
  </si>
  <si>
    <t>25 à 29 ans</t>
  </si>
  <si>
    <t>30 à 34 ans</t>
  </si>
  <si>
    <t>35 à 39 ans</t>
  </si>
  <si>
    <t>40 à 44 ans</t>
  </si>
  <si>
    <t>45 à 49 ans</t>
  </si>
  <si>
    <t>50 à 54 ans</t>
  </si>
  <si>
    <t>55 à 59 ans</t>
  </si>
  <si>
    <t>60 à 64 ans</t>
  </si>
  <si>
    <t>65 à 69 ans</t>
  </si>
  <si>
    <t xml:space="preserve">Tranches additionnelles </t>
  </si>
  <si>
    <t>Assurance vie des personnes à charge</t>
  </si>
  <si>
    <t>Choix en assurance vie des personnes à charge</t>
  </si>
  <si>
    <t>A - Pour la personne adhérente</t>
  </si>
  <si>
    <t>B - Pour la personne conjointe</t>
  </si>
  <si>
    <t>Adhérent</t>
  </si>
  <si>
    <t>Conjoint</t>
  </si>
  <si>
    <t>Choix adhérent</t>
  </si>
  <si>
    <t>Choix conjoint</t>
  </si>
  <si>
    <t>Couverture choisie</t>
  </si>
  <si>
    <t>Montant assuré:</t>
  </si>
  <si>
    <t>Couverture</t>
  </si>
  <si>
    <t>Âge adhérent</t>
  </si>
  <si>
    <t>Taux par période de paie adhérent</t>
  </si>
  <si>
    <t>Taux par période de paie conjoint</t>
  </si>
  <si>
    <t>Plan de protection</t>
  </si>
  <si>
    <t>Protection de base (module A)</t>
  </si>
  <si>
    <t>Protection régulière (module B)</t>
  </si>
  <si>
    <t>Protection enrichie (module C)</t>
  </si>
  <si>
    <t>Individuel</t>
  </si>
  <si>
    <t>Monoparental</t>
  </si>
  <si>
    <t>Familial</t>
  </si>
  <si>
    <t>Taux possibles</t>
  </si>
  <si>
    <t>Taux possible</t>
  </si>
  <si>
    <t>Plan de protection (identique à l'assurance maladie)</t>
  </si>
  <si>
    <t>(arrondi au plus près 500$)</t>
  </si>
  <si>
    <t>Choix de protection</t>
  </si>
  <si>
    <t>Protection de base (Option 1)</t>
  </si>
  <si>
    <t>Protection enrichie (Option 2)</t>
  </si>
  <si>
    <t>Je souscris l'assurance vie de base</t>
  </si>
  <si>
    <t>Je souscris l'assurance vie des personnes à charge</t>
  </si>
  <si>
    <t>Je souscris l'assurance invalidité de longue durée</t>
  </si>
  <si>
    <t>Moins de 65 ans</t>
  </si>
  <si>
    <t>Entre 65 ans et 70 ans</t>
  </si>
  <si>
    <t>70 ans ou plus</t>
  </si>
  <si>
    <t>Vie de base</t>
  </si>
  <si>
    <t>Maladies graves</t>
  </si>
  <si>
    <t>Montant payé</t>
  </si>
  <si>
    <t xml:space="preserve"> </t>
  </si>
  <si>
    <t>Pour souscrire une assurance vie additionnelle vous devez avoir une protection en assurance vie de base correspondant à une fois votre salaire annuel.</t>
  </si>
  <si>
    <t>Pour souscrire une assurance vie additionnelle vous devez avoir une protection en assurance vie de base correspondant à deux fois votre salaire annuel.</t>
  </si>
  <si>
    <t xml:space="preserve">          </t>
  </si>
  <si>
    <t xml:space="preserve">Catégorie d'âge   </t>
  </si>
  <si>
    <t>Pour souscrire une assurance vie additionnelle pour la personne conjointe, vous devez avoir une protection pour les personnes à charge.</t>
  </si>
  <si>
    <t>Pour souscrire une assurance vie additionnelle pour la personne conjointe, vous devez avoir une protection en assurance vie de base .</t>
  </si>
  <si>
    <t xml:space="preserve">Je souscris l'assurance vie additionnelle </t>
  </si>
  <si>
    <t xml:space="preserve">Couverture choisie: </t>
  </si>
  <si>
    <t xml:space="preserve">Couverture additionnelle totale: </t>
  </si>
  <si>
    <t xml:space="preserve">Contribution de votre employeur par période de paie : </t>
  </si>
  <si>
    <t>Choix de protection (Inscrivez un "X" dans la case de votre choix et effacez le "X" des autres cases)</t>
  </si>
  <si>
    <t>Choix du syndicat</t>
  </si>
  <si>
    <t xml:space="preserve">Montant assuré : </t>
  </si>
  <si>
    <t xml:space="preserve"> ans</t>
  </si>
  <si>
    <t>Indiquez l'âge de votre conjoint :</t>
  </si>
  <si>
    <t>Une fois le salaire annuel</t>
  </si>
  <si>
    <t>Deux fois le salaire annuel</t>
  </si>
  <si>
    <t>10 000$</t>
  </si>
  <si>
    <t>La moitié du salaire annuel</t>
  </si>
  <si>
    <t>Maladie</t>
  </si>
  <si>
    <t>Dentaire</t>
  </si>
  <si>
    <t>Vie</t>
  </si>
  <si>
    <t>Invalidité de courte durée</t>
  </si>
  <si>
    <t>Invalidité de longue durée</t>
  </si>
  <si>
    <t>De l'Université Laval</t>
  </si>
  <si>
    <t>Health Insurance</t>
  </si>
  <si>
    <t>Coverage status</t>
  </si>
  <si>
    <t>Basic Coverage (Module A)</t>
  </si>
  <si>
    <t>Individual</t>
  </si>
  <si>
    <t>Regular Coverage (Module B)</t>
  </si>
  <si>
    <t>Single-Parent</t>
  </si>
  <si>
    <t>Enhanced Coverage (Module C)</t>
  </si>
  <si>
    <t>Family</t>
  </si>
  <si>
    <t>I am covered under my spouse’s insurance</t>
  </si>
  <si>
    <t>Dental Care Insurance</t>
  </si>
  <si>
    <t>Choice of coverage</t>
  </si>
  <si>
    <t>Coverage status (same as Health Insurance)</t>
  </si>
  <si>
    <t>No option</t>
  </si>
  <si>
    <t>Basic Coverage (Option 1)</t>
  </si>
  <si>
    <t>Enhanced Coverage (Option 2)</t>
  </si>
  <si>
    <t>Short Term Disability Insurance</t>
  </si>
  <si>
    <t>Choice of union</t>
  </si>
  <si>
    <t>From LaSalle College union</t>
  </si>
  <si>
    <t>None of these</t>
  </si>
  <si>
    <t>Long Term Disability Insurance</t>
  </si>
  <si>
    <t>Yes</t>
  </si>
  <si>
    <t>No</t>
  </si>
  <si>
    <t>Basic Life Insurance</t>
  </si>
  <si>
    <t xml:space="preserve">Coverage selected: </t>
  </si>
  <si>
    <t>(this coverage includes critical illness insurance)</t>
  </si>
  <si>
    <t>One time the annual salary</t>
  </si>
  <si>
    <t>Two times the annual salary</t>
  </si>
  <si>
    <t>Age group</t>
  </si>
  <si>
    <t>Dependents’ Life Insurance</t>
  </si>
  <si>
    <t>Optional Life Insurance</t>
  </si>
  <si>
    <t>A - For the participant</t>
  </si>
  <si>
    <t xml:space="preserve">Rate per 14-day period per $1000 of insurance: </t>
  </si>
  <si>
    <t xml:space="preserve">Total additional coverage: </t>
  </si>
  <si>
    <t>Other informations</t>
  </si>
  <si>
    <t>Male</t>
  </si>
  <si>
    <t>Female</t>
  </si>
  <si>
    <t>Non-smoker</t>
  </si>
  <si>
    <t>years old</t>
  </si>
  <si>
    <t>Smoker</t>
  </si>
  <si>
    <t>B - For the spouse</t>
  </si>
  <si>
    <t>Write your spouse's age:</t>
  </si>
  <si>
    <t>Total cost</t>
  </si>
  <si>
    <t/>
  </si>
  <si>
    <t>Du collège LaSalle</t>
  </si>
  <si>
    <t>N.B. L'assurance maladies graves est incluse avec l'assurance vie de base</t>
  </si>
  <si>
    <r>
      <rPr>
        <b/>
        <sz val="11"/>
        <color indexed="8"/>
        <rFont val="Calibri"/>
        <family val="2"/>
      </rPr>
      <t>Health Insurance coverage chosen</t>
    </r>
  </si>
  <si>
    <r>
      <rPr>
        <b/>
        <sz val="11"/>
        <color indexed="8"/>
        <rFont val="Calibri"/>
        <family val="2"/>
      </rPr>
      <t>Coverage status</t>
    </r>
  </si>
  <si>
    <r>
      <rPr>
        <b/>
        <sz val="11"/>
        <color indexed="8"/>
        <rFont val="Calibri"/>
        <family val="2"/>
      </rPr>
      <t>Age and RAMQ</t>
    </r>
  </si>
  <si>
    <r>
      <rPr>
        <b/>
        <sz val="11"/>
        <color indexed="8"/>
        <rFont val="Calibri"/>
        <family val="2"/>
      </rPr>
      <t>Cost per 14 days</t>
    </r>
  </si>
  <si>
    <r>
      <rPr>
        <sz val="11"/>
        <color indexed="8"/>
        <rFont val="Calibri"/>
        <family val="2"/>
      </rPr>
      <t>If participant is under age 65</t>
    </r>
  </si>
  <si>
    <r>
      <rPr>
        <b/>
        <sz val="11"/>
        <color indexed="8"/>
        <rFont val="Calibri"/>
        <family val="2"/>
      </rPr>
      <t>Dental Care Insurance coverage chosen</t>
    </r>
  </si>
  <si>
    <r>
      <rPr>
        <sz val="11"/>
        <color indexed="8"/>
        <rFont val="Calibri"/>
        <family val="2"/>
      </rPr>
      <t>Cost per 14 days</t>
    </r>
  </si>
  <si>
    <r>
      <rPr>
        <sz val="11"/>
        <color indexed="8"/>
        <rFont val="Calibri"/>
        <family val="2"/>
      </rPr>
      <t>Basic Coverage (Module A)</t>
    </r>
  </si>
  <si>
    <r>
      <rPr>
        <sz val="11"/>
        <color indexed="8"/>
        <rFont val="Calibri"/>
        <family val="2"/>
      </rPr>
      <t>Individual</t>
    </r>
  </si>
  <si>
    <r>
      <rPr>
        <sz val="11"/>
        <color indexed="8"/>
        <rFont val="Calibri"/>
        <family val="2"/>
      </rPr>
      <t>Participant under age 65</t>
    </r>
  </si>
  <si>
    <r>
      <rPr>
        <sz val="11"/>
        <color indexed="8"/>
        <rFont val="Calibri"/>
        <family val="2"/>
      </rPr>
      <t>Regular Coverage (Module B)</t>
    </r>
  </si>
  <si>
    <r>
      <rPr>
        <sz val="11"/>
        <color indexed="8"/>
        <rFont val="Calibri"/>
        <family val="2"/>
      </rPr>
      <t>Single-Parent</t>
    </r>
  </si>
  <si>
    <r>
      <rPr>
        <sz val="11"/>
        <color indexed="8"/>
        <rFont val="Calibri"/>
        <family val="2"/>
      </rPr>
      <t>Participant age 65 or + registered with the RAMQ</t>
    </r>
  </si>
  <si>
    <r>
      <rPr>
        <sz val="11"/>
        <color indexed="8"/>
        <rFont val="Calibri"/>
        <family val="2"/>
      </rPr>
      <t>Basic Coverage (Option 1)</t>
    </r>
  </si>
  <si>
    <r>
      <rPr>
        <sz val="11"/>
        <color indexed="8"/>
        <rFont val="Calibri"/>
        <family val="2"/>
      </rPr>
      <t>Ind</t>
    </r>
  </si>
  <si>
    <r>
      <rPr>
        <sz val="11"/>
        <color indexed="8"/>
        <rFont val="Calibri"/>
        <family val="2"/>
      </rPr>
      <t>Enhanced Coverage (Module C)</t>
    </r>
  </si>
  <si>
    <r>
      <rPr>
        <sz val="11"/>
        <color indexed="8"/>
        <rFont val="Calibri"/>
        <family val="2"/>
      </rPr>
      <t>Family</t>
    </r>
  </si>
  <si>
    <r>
      <rPr>
        <sz val="11"/>
        <color indexed="8"/>
        <rFont val="Calibri"/>
        <family val="2"/>
      </rPr>
      <t>Participant age 65 or + not registered with the RAMQ</t>
    </r>
  </si>
  <si>
    <r>
      <rPr>
        <sz val="11"/>
        <color indexed="8"/>
        <rFont val="Calibri"/>
        <family val="2"/>
      </rPr>
      <t>Enhanced Coverage (Option 2)</t>
    </r>
  </si>
  <si>
    <r>
      <rPr>
        <sz val="11"/>
        <color indexed="8"/>
        <rFont val="Calibri"/>
        <family val="2"/>
      </rPr>
      <t>SP</t>
    </r>
  </si>
  <si>
    <r>
      <rPr>
        <sz val="11"/>
        <color indexed="8"/>
        <rFont val="Calibri"/>
        <family val="2"/>
      </rPr>
      <t>I am covered under my spouse’s insurance</t>
    </r>
  </si>
  <si>
    <r>
      <rPr>
        <sz val="11"/>
        <color indexed="8"/>
        <rFont val="Calibri"/>
        <family val="2"/>
      </rPr>
      <t>Couple</t>
    </r>
  </si>
  <si>
    <r>
      <rPr>
        <sz val="11"/>
        <color indexed="8"/>
        <rFont val="Calibri"/>
        <family val="2"/>
      </rPr>
      <t>Fam</t>
    </r>
  </si>
  <si>
    <r>
      <rPr>
        <sz val="11"/>
        <color indexed="8"/>
        <rFont val="Calibri"/>
        <family val="2"/>
      </rPr>
      <t>Answer chosen</t>
    </r>
  </si>
  <si>
    <r>
      <rPr>
        <sz val="11"/>
        <color indexed="8"/>
        <rFont val="Calibri"/>
        <family val="2"/>
      </rPr>
      <t>If age 65 or over and registered with the RAMQ</t>
    </r>
  </si>
  <si>
    <r>
      <rPr>
        <sz val="11"/>
        <color indexed="8"/>
        <rFont val="Calibri"/>
        <family val="2"/>
      </rPr>
      <t>Test on answer</t>
    </r>
  </si>
  <si>
    <r>
      <rPr>
        <sz val="11"/>
        <color indexed="8"/>
        <rFont val="Calibri"/>
        <family val="2"/>
      </rPr>
      <t>Cost per pay</t>
    </r>
  </si>
  <si>
    <r>
      <rPr>
        <sz val="11"/>
        <color indexed="8"/>
        <rFont val="Calibri"/>
        <family val="2"/>
      </rPr>
      <t>If age 65 or over and not registered with the RAMQ</t>
    </r>
  </si>
  <si>
    <r>
      <rPr>
        <b/>
        <sz val="11"/>
        <color indexed="8"/>
        <rFont val="Calibri"/>
        <family val="2"/>
      </rPr>
      <t>Coverage selected for Basic Life Insurance</t>
    </r>
  </si>
  <si>
    <r>
      <rPr>
        <sz val="11"/>
        <color indexed="8"/>
        <rFont val="Calibri"/>
        <family val="2"/>
      </rPr>
      <t>Possible rate</t>
    </r>
  </si>
  <si>
    <r>
      <rPr>
        <sz val="11"/>
        <color indexed="8"/>
        <rFont val="Calibri"/>
        <family val="2"/>
      </rPr>
      <t>Age group</t>
    </r>
  </si>
  <si>
    <r>
      <rPr>
        <sz val="11"/>
        <color indexed="8"/>
        <rFont val="Calibri"/>
        <family val="2"/>
      </rPr>
      <t>Yes</t>
    </r>
  </si>
  <si>
    <r>
      <rPr>
        <sz val="11"/>
        <color indexed="8"/>
        <rFont val="Calibri"/>
        <family val="2"/>
      </rPr>
      <t>Basic Life</t>
    </r>
  </si>
  <si>
    <r>
      <rPr>
        <sz val="11"/>
        <color indexed="8"/>
        <rFont val="Calibri"/>
        <family val="2"/>
      </rPr>
      <t>Under age 65</t>
    </r>
  </si>
  <si>
    <r>
      <rPr>
        <sz val="11"/>
        <color indexed="8"/>
        <rFont val="Calibri"/>
        <family val="2"/>
      </rPr>
      <t>No</t>
    </r>
  </si>
  <si>
    <r>
      <rPr>
        <sz val="11"/>
        <color indexed="8"/>
        <rFont val="Calibri"/>
        <family val="2"/>
      </rPr>
      <t>Critical Illness</t>
    </r>
  </si>
  <si>
    <r>
      <rPr>
        <sz val="11"/>
        <color indexed="8"/>
        <rFont val="Calibri"/>
        <family val="2"/>
      </rPr>
      <t>Between age 65 and 70</t>
    </r>
  </si>
  <si>
    <t>Half of the annual salary</t>
  </si>
  <si>
    <t>Salary rounded at 500$</t>
  </si>
  <si>
    <r>
      <rPr>
        <sz val="11"/>
        <color indexed="8"/>
        <rFont val="Calibri"/>
        <family val="2"/>
      </rPr>
      <t>Age 70 or over</t>
    </r>
  </si>
  <si>
    <r>
      <rPr>
        <sz val="11"/>
        <color indexed="8"/>
        <rFont val="Calibri"/>
        <family val="2"/>
      </rPr>
      <t>Insured amount:</t>
    </r>
  </si>
  <si>
    <t>Rate per pay</t>
  </si>
  <si>
    <r>
      <rPr>
        <sz val="11"/>
        <color indexed="8"/>
        <rFont val="Calibri"/>
        <family val="2"/>
      </rPr>
      <t>(rounded to the nearest $500)</t>
    </r>
  </si>
  <si>
    <r>
      <rPr>
        <sz val="11"/>
        <color indexed="8"/>
        <rFont val="Calibri"/>
        <family val="2"/>
      </rPr>
      <t>Coverage selected</t>
    </r>
  </si>
  <si>
    <t>Cost per pay</t>
  </si>
  <si>
    <t>Amount paid:</t>
  </si>
  <si>
    <t>Annual cost</t>
  </si>
  <si>
    <r>
      <rPr>
        <b/>
        <sz val="11"/>
        <color indexed="8"/>
        <rFont val="Calibri"/>
        <family val="2"/>
      </rPr>
      <t>Coverage selected for Dependents’ Life Insurance</t>
    </r>
  </si>
  <si>
    <r>
      <rPr>
        <b/>
        <sz val="11"/>
        <color indexed="8"/>
        <rFont val="Calibri"/>
        <family val="2"/>
      </rPr>
      <t>Short Term Disability Insurance</t>
    </r>
  </si>
  <si>
    <t>Chosen union</t>
  </si>
  <si>
    <t>Rate per 1000$</t>
  </si>
  <si>
    <r>
      <rPr>
        <b/>
        <sz val="11"/>
        <color indexed="8"/>
        <rFont val="Calibri"/>
        <family val="2"/>
      </rPr>
      <t>Long Term Disability Insurance</t>
    </r>
  </si>
  <si>
    <r>
      <rPr>
        <sz val="11"/>
        <color indexed="8"/>
        <rFont val="Calibri"/>
        <family val="2"/>
      </rPr>
      <t>Registered for insurance?</t>
    </r>
  </si>
  <si>
    <t>Possible rate</t>
  </si>
  <si>
    <t>Possible rates</t>
  </si>
  <si>
    <r>
      <rPr>
        <sz val="11"/>
        <color indexed="8"/>
        <rFont val="Calibri"/>
        <family val="2"/>
      </rPr>
      <t>To take out Optional Life Insurance you must have Basic Life Insurance coverage corresponding to two times your annual salary.</t>
    </r>
  </si>
  <si>
    <t>To take out Optional Life Insurance you must have Basic Life Insurance coverage corresponding to one time your annual salary.</t>
  </si>
  <si>
    <r>
      <rPr>
        <b/>
        <sz val="11"/>
        <color indexed="8"/>
        <rFont val="Calibri"/>
        <family val="2"/>
      </rPr>
      <t>Coverage selected for Optional Life Insurance</t>
    </r>
  </si>
  <si>
    <r>
      <rPr>
        <sz val="11"/>
        <color indexed="8"/>
        <rFont val="Calibri"/>
        <family val="2"/>
      </rPr>
      <t>Rate table</t>
    </r>
  </si>
  <si>
    <r>
      <rPr>
        <sz val="11"/>
        <color indexed="8"/>
        <rFont val="Calibri"/>
        <family val="2"/>
      </rPr>
      <t xml:space="preserve">Additional units </t>
    </r>
  </si>
  <si>
    <r>
      <rPr>
        <b/>
        <sz val="11"/>
        <color indexed="8"/>
        <rFont val="Calibri"/>
        <family val="2"/>
      </rPr>
      <t>Participant</t>
    </r>
  </si>
  <si>
    <t>Spouse</t>
  </si>
  <si>
    <r>
      <rPr>
        <sz val="11"/>
        <color indexed="8"/>
        <rFont val="Calibri"/>
        <family val="2"/>
      </rPr>
      <t>Male</t>
    </r>
  </si>
  <si>
    <r>
      <rPr>
        <sz val="11"/>
        <color indexed="8"/>
        <rFont val="Calibri"/>
        <family val="2"/>
      </rPr>
      <t>Female</t>
    </r>
  </si>
  <si>
    <r>
      <rPr>
        <sz val="11"/>
        <color indexed="8"/>
        <rFont val="Calibri"/>
        <family val="2"/>
      </rPr>
      <t>Age</t>
    </r>
  </si>
  <si>
    <r>
      <rPr>
        <sz val="11"/>
        <color indexed="8"/>
        <rFont val="Calibri"/>
        <family val="2"/>
      </rPr>
      <t>Non-smoker</t>
    </r>
  </si>
  <si>
    <r>
      <rPr>
        <sz val="11"/>
        <color indexed="8"/>
        <rFont val="Calibri"/>
        <family val="2"/>
      </rPr>
      <t>Smoker</t>
    </r>
  </si>
  <si>
    <r>
      <rPr>
        <sz val="11"/>
        <color indexed="8"/>
        <rFont val="Calibri"/>
        <family val="2"/>
      </rPr>
      <t>Under age 25</t>
    </r>
  </si>
  <si>
    <r>
      <rPr>
        <sz val="11"/>
        <color indexed="8"/>
        <rFont val="Calibri"/>
        <family val="2"/>
      </rPr>
      <t>25 to 29</t>
    </r>
  </si>
  <si>
    <r>
      <rPr>
        <sz val="11"/>
        <color indexed="8"/>
        <rFont val="Calibri"/>
        <family val="2"/>
      </rPr>
      <t>30 to 34</t>
    </r>
  </si>
  <si>
    <r>
      <rPr>
        <sz val="11"/>
        <color indexed="8"/>
        <rFont val="Calibri"/>
        <family val="2"/>
      </rPr>
      <t>35 to 39</t>
    </r>
  </si>
  <si>
    <r>
      <rPr>
        <sz val="11"/>
        <color indexed="8"/>
        <rFont val="Calibri"/>
        <family val="2"/>
      </rPr>
      <t>Gender</t>
    </r>
  </si>
  <si>
    <r>
      <rPr>
        <sz val="11"/>
        <color indexed="8"/>
        <rFont val="Calibri"/>
        <family val="2"/>
      </rPr>
      <t>40 to 44</t>
    </r>
  </si>
  <si>
    <r>
      <rPr>
        <sz val="11"/>
        <color indexed="8"/>
        <rFont val="Calibri"/>
        <family val="2"/>
      </rPr>
      <t>45 to 49</t>
    </r>
  </si>
  <si>
    <r>
      <rPr>
        <sz val="11"/>
        <color indexed="8"/>
        <rFont val="Calibri"/>
        <family val="2"/>
      </rPr>
      <t>50 to 54</t>
    </r>
  </si>
  <si>
    <r>
      <rPr>
        <sz val="11"/>
        <color indexed="8"/>
        <rFont val="Calibri"/>
        <family val="2"/>
      </rPr>
      <t>Participant’s choice</t>
    </r>
  </si>
  <si>
    <r>
      <rPr>
        <sz val="11"/>
        <color indexed="8"/>
        <rFont val="Calibri"/>
        <family val="2"/>
      </rPr>
      <t>55 to 59</t>
    </r>
  </si>
  <si>
    <r>
      <rPr>
        <sz val="11"/>
        <color indexed="8"/>
        <rFont val="Calibri"/>
        <family val="2"/>
      </rPr>
      <t>60 to 64</t>
    </r>
  </si>
  <si>
    <r>
      <rPr>
        <sz val="11"/>
        <color indexed="8"/>
        <rFont val="Calibri"/>
        <family val="2"/>
      </rPr>
      <t>Spouse’s choice</t>
    </r>
  </si>
  <si>
    <r>
      <rPr>
        <sz val="11"/>
        <color indexed="8"/>
        <rFont val="Calibri"/>
        <family val="2"/>
      </rPr>
      <t>65 to 69</t>
    </r>
  </si>
  <si>
    <r>
      <rPr>
        <sz val="11"/>
        <color indexed="8"/>
        <rFont val="Calibri"/>
        <family val="2"/>
      </rPr>
      <t>Smoker/Non-smoker</t>
    </r>
  </si>
  <si>
    <r>
      <rPr>
        <sz val="11"/>
        <color indexed="8"/>
        <rFont val="Calibri"/>
        <family val="2"/>
      </rPr>
      <t>Participant’s age</t>
    </r>
  </si>
  <si>
    <t>45 to 49</t>
  </si>
  <si>
    <r>
      <rPr>
        <sz val="11"/>
        <color indexed="8"/>
        <rFont val="Calibri"/>
        <family val="2"/>
      </rPr>
      <t>Rate per pay period for participant</t>
    </r>
  </si>
  <si>
    <r>
      <rPr>
        <sz val="11"/>
        <color indexed="8"/>
        <rFont val="Calibri"/>
        <family val="2"/>
      </rPr>
      <t>Spouse’s age</t>
    </r>
  </si>
  <si>
    <r>
      <rPr>
        <sz val="11"/>
        <color indexed="8"/>
        <rFont val="Calibri"/>
        <family val="2"/>
      </rPr>
      <t>Rate per pay period for spouse</t>
    </r>
  </si>
  <si>
    <r>
      <rPr>
        <sz val="11"/>
        <color indexed="8"/>
        <rFont val="Calibri"/>
        <family val="2"/>
      </rPr>
      <t>To take out Optional Life Insurance for the spouse, you must have coverage for dependents.</t>
    </r>
  </si>
  <si>
    <r>
      <rPr>
        <sz val="11"/>
        <color indexed="8"/>
        <rFont val="Calibri"/>
        <family val="2"/>
      </rPr>
      <t>To take out Optional Life Insurance for the spouse, you must have Basic Life Insurance coverage.</t>
    </r>
  </si>
  <si>
    <t>Under age 25</t>
  </si>
  <si>
    <t>25 to 29</t>
  </si>
  <si>
    <t>30 to 34</t>
  </si>
  <si>
    <t>35 to 39</t>
  </si>
  <si>
    <t>40 to 44</t>
  </si>
  <si>
    <t>50 to 54</t>
  </si>
  <si>
    <t>55 to 59</t>
  </si>
  <si>
    <t>60 to 64</t>
  </si>
  <si>
    <t>65 to 69</t>
  </si>
  <si>
    <t xml:space="preserve">Write your annual salary : </t>
  </si>
  <si>
    <t>Answer chosen</t>
  </si>
  <si>
    <t>From Laval University union</t>
  </si>
  <si>
    <t xml:space="preserve">Cout annuel (26 paies) : </t>
  </si>
  <si>
    <t>Cout par 14 jours</t>
  </si>
  <si>
    <t xml:space="preserve">Cout par période de paie (14 jours) : </t>
  </si>
  <si>
    <t>Cout total</t>
  </si>
  <si>
    <t xml:space="preserve">Cout total par période de paie avant la contribution de l'employeur :  </t>
  </si>
  <si>
    <t>Cout par paie</t>
  </si>
  <si>
    <t>Cout annuel</t>
  </si>
  <si>
    <t>Formule</t>
  </si>
  <si>
    <t>Valeur à saisir</t>
  </si>
  <si>
    <t>Texte</t>
  </si>
  <si>
    <t>Couleurs</t>
  </si>
  <si>
    <t>Inscrivez votre salaire annuel :</t>
  </si>
  <si>
    <t>Vie additionnelle</t>
  </si>
  <si>
    <t>Additional life insurance</t>
  </si>
  <si>
    <t>Quel est votre âge :</t>
  </si>
  <si>
    <t>ans</t>
  </si>
  <si>
    <t>Âge de l'adhérant</t>
  </si>
  <si>
    <t>À compter de 70 ans, l'assurance vie additionnelle n'est plus disponible.</t>
  </si>
  <si>
    <t>Participant age :</t>
  </si>
  <si>
    <t>years</t>
  </si>
  <si>
    <t>Âge</t>
  </si>
  <si>
    <t>Age</t>
  </si>
  <si>
    <t>Age of participant</t>
  </si>
  <si>
    <t>Optional Life Insurance is no longer available after age 70.</t>
  </si>
  <si>
    <t>Du collège Trinité</t>
  </si>
  <si>
    <t>From Trinité College union</t>
  </si>
  <si>
    <t>Taux_courte</t>
  </si>
  <si>
    <t>Taux par 1 000 $</t>
  </si>
  <si>
    <t>Personnes à charge</t>
  </si>
  <si>
    <t>D'un autre collège ou d'une autre université</t>
  </si>
  <si>
    <t>From any other college or university</t>
  </si>
  <si>
    <t xml:space="preserve">Prime par période de paie pour l'assurance maladies graves : </t>
  </si>
  <si>
    <t>Prime par période de paye</t>
  </si>
  <si>
    <t>Attention dans les cellules avec congé de prime</t>
  </si>
  <si>
    <t>Congé</t>
  </si>
  <si>
    <t>Daniel Légaré</t>
  </si>
  <si>
    <t>De l'ITHQ ou de l'ITAQ</t>
  </si>
  <si>
    <t>From ITHQ or ITAQ</t>
  </si>
  <si>
    <t>Salaire arrondi à 500 $</t>
  </si>
  <si>
    <t>Le congé de 50 % est compris dans les taux ci-dessus</t>
  </si>
  <si>
    <t>Choice of coverage (Write an X beside your choice and erase the other ones)</t>
  </si>
  <si>
    <t>I want to enroll in</t>
  </si>
  <si>
    <t>I want to enroll in Long Term Disability Insurance coverage</t>
  </si>
  <si>
    <t>I want to enroll in Basic Life Insurance</t>
  </si>
  <si>
    <t>Note: This calculator only gives an estimate of the costs of the coverage options selected. The information included in the calculator and the results obtained only offers guidelines to the participant making her/his decision. Therefore, the estimate and the results obtained have no legal value and do not bind in any circumstance Beneva or the FNEEQ-CSN.</t>
  </si>
  <si>
    <t xml:space="preserve">tranches de 20 000 $ pour un total de : </t>
  </si>
  <si>
    <t xml:space="preserve">tranches de 25 000 $ pour un total de : </t>
  </si>
  <si>
    <t>tranches de 25 000 $ pour un total de :</t>
  </si>
  <si>
    <t>Taux par période de 14 jours par 1 000 $ de salaire annuel :</t>
  </si>
  <si>
    <t xml:space="preserve">Taux par période de 14 jours par 1 000 $ d'assurance vie : </t>
  </si>
  <si>
    <t>Taux par période de 14 jours par 1 000 $ d'assurance :</t>
  </si>
  <si>
    <t>Taux par période de 14 jours pour 1 000 $ d'assurance :</t>
  </si>
  <si>
    <t xml:space="preserve">Cost per pay period (14 days) : </t>
  </si>
  <si>
    <t xml:space="preserve">Annual cost (26 pay periods) : </t>
  </si>
  <si>
    <t xml:space="preserve">Total cost per pay period before your employer contribution : </t>
  </si>
  <si>
    <t xml:space="preserve">Employer's contribution per pay period : </t>
  </si>
  <si>
    <t xml:space="preserve">units of 25 000 $ for a total of : </t>
  </si>
  <si>
    <t xml:space="preserve">Insured amount : </t>
  </si>
  <si>
    <t xml:space="preserve">Coast per pay period for Critical Illness Insurance : </t>
  </si>
  <si>
    <t xml:space="preserve">units of 20 000 $ for a total of : </t>
  </si>
  <si>
    <t>Additional units taken out before January 1, 2013 (1 to 7 units of 20 000 $)</t>
  </si>
  <si>
    <t>Additional units taken out after January 1, 2013 (1 to 10 units of 25 000 $)</t>
  </si>
  <si>
    <t>units of 20 000 $ for a total of :</t>
  </si>
  <si>
    <t>units of 25 000 $ for a total of :</t>
  </si>
  <si>
    <t xml:space="preserve">Rate per 14-day period per 1 000 $ of annual salary : </t>
  </si>
  <si>
    <t>tranches de 20 000 $ pour un total de : </t>
  </si>
  <si>
    <t xml:space="preserve">Taux par période de 14 jours par 1 000 $ de salaire annuel : </t>
  </si>
  <si>
    <t>Taux au 1er janvier 2024</t>
  </si>
  <si>
    <t>Cet onglet est à mettre à jour lors de chaque renouvellement.
Tous les autres onglets se mettent à jour automatiquement, en utilisant ces valeurs.</t>
  </si>
  <si>
    <t>Inscrivez votre salaire annuel:</t>
  </si>
  <si>
    <t xml:space="preserve">Inscrivez votre salaire annuel : </t>
  </si>
  <si>
    <t>Tranches additionnelles prises avant le 1er janvier 2013
(1 à 7 tranches de 20 000 $)</t>
  </si>
  <si>
    <t>Tranches additionnelles prises à compter du 1er janvier 2013
(1 à 10 tranches de 25 000 $)</t>
  </si>
  <si>
    <t>Âge conjoint</t>
  </si>
  <si>
    <t xml:space="preserve">Rate per 14-day period per 1 000 $ of life insurance :  </t>
  </si>
  <si>
    <t xml:space="preserve">Taxe de vente de 9% : </t>
  </si>
  <si>
    <t xml:space="preserve">Cout total par période de paie (14 jours) incluant la taxe de vente : </t>
  </si>
  <si>
    <t xml:space="preserve">Cout annuel (26 paies) incluant la taxe de vente : </t>
  </si>
  <si>
    <t xml:space="preserve">Annual cost (26 pay periods) including sales tax : </t>
  </si>
  <si>
    <t xml:space="preserve">Total cost per pay period (14 days) including sales tax : </t>
  </si>
  <si>
    <t xml:space="preserve">9 % sales tax : </t>
  </si>
  <si>
    <t>Cette assurance est offerte par Beneva seulement dans les syndicats des regroupements privé et université, ainsi que pour certains chargé.e.s de cours des syndicats du regroupement cégep ayant adhéré à l'Annexe I.  Les enseignant.e.s du régulier des syndicats du regroupement cégep sont couverts par la convention collective en assurance invalidité de courte durée.</t>
  </si>
  <si>
    <t>This insurance, offered by Beneva, is only available to members of Unions of private schools and universities, as well as for the hourly-paid teachers of some Cégeps Unions (the ones where Schedule I applies). Regular sector Cégep teachers are covered for short-term disability by the salary insurance provided for in the Collective Agreement.</t>
  </si>
  <si>
    <t>70 à 74 ans</t>
  </si>
  <si>
    <t>75 ans et plus</t>
  </si>
  <si>
    <t>x</t>
  </si>
  <si>
    <t>Tranches additionnelles prises à compter du 1er janvier 2013
(1 à 10 tranches de 25 000 $ - limite de 2 tranches à 70 ans ou plus)</t>
  </si>
  <si>
    <t>Additional units taken out after January 1, 2013 (1 to 10 units of 25 000 $, max 2 units if 70 years or older)</t>
  </si>
  <si>
    <t>70 to 74</t>
  </si>
  <si>
    <t>75 or older</t>
  </si>
  <si>
    <t>Avis : ce calculateur pour le cout des assurances ne fournit qu’une estimation du cout des protections choisies. Les renseignements s’y trouvant et les résultats obtenus ne servent que de guide afin de permettre au participant d’effectuer son choix. Par conséquent, l’estimation obtenue n’a aucune valeur légale et ne lie en aucun cas l’assureur Beneva ou la FNEEQ-CSN.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</si>
</sst>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8" formatCode="#,##0.00\ &quot;$&quot;_);[Red]\(#,##0.00\ &quot;$&quot;\)"/>
    <numFmt numFmtId="44" formatCode="_ * #,##0.00_)\ &quot;$&quot;_ ;_ * \(#,##0.00\)\ &quot;$&quot;_ ;_ * &quot;-&quot;??_)\ &quot;$&quot;_ ;_ @_ "/>
    <numFmt numFmtId="164" formatCode="_ * #,##0.000_)\ &quot;$&quot;_ ;_ * \(#,##0.000\)\ &quot;$&quot;_ ;_ * &quot;-&quot;???_)\ &quot;$&quot;_ ;_ @_ "/>
    <numFmt numFmtId="165" formatCode="_ * #,##0.0000_)\ &quot;$&quot;_ ;_ * \(#,##0.0000\)\ &quot;$&quot;_ ;_ * &quot;-&quot;???_)\ &quot;$&quot;_ ;_ @_ "/>
    <numFmt numFmtId="166" formatCode="_ * #,##0_)\ &quot;$&quot;_ ;_ * \(#,##0\)\ &quot;$&quot;_ ;_ * &quot;-&quot;??_)\ &quot;$&quot;_ ;_ @_ "/>
    <numFmt numFmtId="167" formatCode="_ * #,##0.000_)\ &quot;$&quot;_ ;_ * \(#,##0.000\)\ &quot;$&quot;_ ;_ * &quot;-&quot;??_)\ &quot;$&quot;_ ;_ @_ "/>
    <numFmt numFmtId="168" formatCode="_ * #,##0.000000_)\ &quot;$&quot;_ ;_ * \(#,##0.000000\)\ &quot;$&quot;_ ;_ * &quot;-&quot;??_)\ &quot;$&quot;_ ;_ @_ "/>
    <numFmt numFmtId="169" formatCode="_ * #,##0.00_)\ &quot;$&quot;_ ;_ * \(#,##0.00\)\ &quot;$&quot;_ ;_ * &quot;-&quot;???_)\ &quot;$&quot;_ ;_ @_ "/>
    <numFmt numFmtId="170" formatCode="#,##0.0000\ &quot;$&quot;"/>
    <numFmt numFmtId="171" formatCode="#,##0.00\ &quot;$&quot;"/>
    <numFmt numFmtId="172" formatCode="#,##0.000\ &quot;$&quot;"/>
    <numFmt numFmtId="173" formatCode="#,##0\ &quot;$&quot;"/>
    <numFmt numFmtId="174" formatCode=";;;"/>
  </numFmts>
  <fonts count="31" x14ac:knownFonts="1">
    <font>
      <sz val="11"/>
      <color theme="1"/>
      <name val="Calibri"/>
      <family val="2"/>
      <scheme val="minor"/>
    </font>
    <font>
      <sz val="11"/>
      <color theme="1"/>
      <name val="Calibri"/>
      <family val="2"/>
      <scheme val="minor"/>
    </font>
    <font>
      <b/>
      <sz val="11"/>
      <color theme="1"/>
      <name val="Calibri"/>
      <family val="2"/>
      <scheme val="minor"/>
    </font>
    <font>
      <sz val="16"/>
      <color theme="1"/>
      <name val="Calibri"/>
      <family val="2"/>
      <scheme val="minor"/>
    </font>
    <font>
      <b/>
      <sz val="26"/>
      <color theme="1"/>
      <name val="Calibri"/>
      <family val="2"/>
      <scheme val="minor"/>
    </font>
    <font>
      <b/>
      <sz val="16"/>
      <color theme="1"/>
      <name val="Calibri"/>
      <family val="2"/>
      <scheme val="minor"/>
    </font>
    <font>
      <sz val="10"/>
      <color theme="1"/>
      <name val="Calibri"/>
      <family val="2"/>
      <scheme val="minor"/>
    </font>
    <font>
      <b/>
      <sz val="10"/>
      <color rgb="FFFF0000"/>
      <name val="Calibri"/>
      <family val="2"/>
      <scheme val="minor"/>
    </font>
    <font>
      <b/>
      <sz val="28"/>
      <color theme="1"/>
      <name val="Calibri"/>
      <family val="2"/>
      <scheme val="minor"/>
    </font>
    <font>
      <b/>
      <sz val="10"/>
      <color rgb="FF002060"/>
      <name val="Calibri"/>
      <family val="2"/>
      <scheme val="minor"/>
    </font>
    <font>
      <b/>
      <sz val="11"/>
      <color rgb="FFFF0000"/>
      <name val="Calibri"/>
      <family val="2"/>
      <scheme val="minor"/>
    </font>
    <font>
      <b/>
      <sz val="12"/>
      <color theme="1"/>
      <name val="Calibri"/>
      <family val="2"/>
      <scheme val="minor"/>
    </font>
    <font>
      <b/>
      <sz val="11"/>
      <color rgb="FFC80000"/>
      <name val="Calibri"/>
      <family val="2"/>
      <scheme val="minor"/>
    </font>
    <font>
      <b/>
      <sz val="12"/>
      <color rgb="FFC80000"/>
      <name val="Calibri"/>
      <family val="2"/>
      <scheme val="minor"/>
    </font>
    <font>
      <sz val="12"/>
      <color theme="1"/>
      <name val="Calibri"/>
      <family val="2"/>
      <scheme val="minor"/>
    </font>
    <font>
      <b/>
      <sz val="11"/>
      <color rgb="FFC00000"/>
      <name val="Calibri"/>
      <family val="2"/>
      <scheme val="minor"/>
    </font>
    <font>
      <b/>
      <sz val="11"/>
      <name val="Calibri"/>
      <family val="2"/>
      <scheme val="minor"/>
    </font>
    <font>
      <b/>
      <sz val="12"/>
      <color rgb="FFFF0000"/>
      <name val="Calibri"/>
      <family val="2"/>
      <scheme val="minor"/>
    </font>
    <font>
      <b/>
      <sz val="12"/>
      <color rgb="FFC00000"/>
      <name val="Calibri"/>
      <family val="2"/>
      <scheme val="minor"/>
    </font>
    <font>
      <b/>
      <sz val="9"/>
      <color indexed="81"/>
      <name val="Tahoma"/>
      <family val="2"/>
    </font>
    <font>
      <b/>
      <sz val="14"/>
      <name val="Calibri"/>
      <family val="2"/>
      <scheme val="minor"/>
    </font>
    <font>
      <b/>
      <sz val="11"/>
      <color indexed="8"/>
      <name val="Calibri"/>
      <family val="2"/>
    </font>
    <font>
      <sz val="11"/>
      <color indexed="8"/>
      <name val="Calibri"/>
      <family val="2"/>
    </font>
    <font>
      <sz val="14"/>
      <color theme="1"/>
      <name val="Calibri"/>
      <family val="2"/>
      <scheme val="minor"/>
    </font>
    <font>
      <sz val="11"/>
      <color rgb="FFFF0000"/>
      <name val="Calibri"/>
      <family val="2"/>
      <scheme val="minor"/>
    </font>
    <font>
      <b/>
      <sz val="11"/>
      <color theme="6" tint="-0.249977111117893"/>
      <name val="Calibri"/>
      <family val="2"/>
      <scheme val="minor"/>
    </font>
    <font>
      <sz val="11"/>
      <color rgb="FFC00000"/>
      <name val="Calibri"/>
      <family val="2"/>
      <scheme val="minor"/>
    </font>
    <font>
      <b/>
      <sz val="14"/>
      <color theme="1"/>
      <name val="Calibri"/>
      <family val="2"/>
      <scheme val="minor"/>
    </font>
    <font>
      <b/>
      <i/>
      <sz val="20"/>
      <color theme="1"/>
      <name val="Calibri"/>
      <family val="2"/>
      <scheme val="minor"/>
    </font>
    <font>
      <sz val="8"/>
      <name val="Calibri"/>
      <family val="2"/>
      <scheme val="minor"/>
    </font>
    <font>
      <b/>
      <sz val="12"/>
      <name val="Calibri"/>
      <family val="2"/>
      <scheme val="minor"/>
    </font>
  </fonts>
  <fills count="17">
    <fill>
      <patternFill patternType="none"/>
    </fill>
    <fill>
      <patternFill patternType="gray125"/>
    </fill>
    <fill>
      <patternFill patternType="solid">
        <fgColor theme="0"/>
        <bgColor indexed="64"/>
      </patternFill>
    </fill>
    <fill>
      <patternFill patternType="solid">
        <fgColor rgb="FF89CCCC"/>
        <bgColor indexed="64"/>
      </patternFill>
    </fill>
    <fill>
      <patternFill patternType="solid">
        <fgColor rgb="FFECECCB"/>
        <bgColor indexed="64"/>
      </patternFill>
    </fill>
    <fill>
      <patternFill patternType="solid">
        <fgColor rgb="FFECECEC"/>
        <bgColor indexed="64"/>
      </patternFill>
    </fill>
    <fill>
      <patternFill patternType="solid">
        <fgColor rgb="FFFFFF99"/>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rgb="FFEAEAEA"/>
        <bgColor indexed="64"/>
      </patternFill>
    </fill>
    <fill>
      <patternFill patternType="solid">
        <fgColor theme="9" tint="0.59999389629810485"/>
        <bgColor indexed="64"/>
      </patternFill>
    </fill>
    <fill>
      <patternFill patternType="solid">
        <fgColor rgb="FFFFCCFF"/>
        <bgColor indexed="64"/>
      </patternFill>
    </fill>
    <fill>
      <patternFill patternType="solid">
        <fgColor theme="7" tint="0.79998168889431442"/>
        <bgColor indexed="64"/>
      </patternFill>
    </fill>
    <fill>
      <patternFill patternType="solid">
        <fgColor rgb="FFFFFFCC"/>
        <bgColor indexed="64"/>
      </patternFill>
    </fill>
    <fill>
      <patternFill patternType="solid">
        <fgColor rgb="FFFFFF00"/>
        <bgColor indexed="64"/>
      </patternFill>
    </fill>
    <fill>
      <patternFill patternType="solid">
        <fgColor theme="2"/>
        <bgColor indexed="64"/>
      </patternFill>
    </fill>
  </fills>
  <borders count="1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Dashed">
        <color indexed="64"/>
      </left>
      <right/>
      <top style="thin">
        <color indexed="64"/>
      </top>
      <bottom/>
      <diagonal/>
    </border>
    <border>
      <left/>
      <right style="mediumDashed">
        <color indexed="64"/>
      </right>
      <top style="thin">
        <color indexed="64"/>
      </top>
      <bottom/>
      <diagonal/>
    </border>
    <border>
      <left style="mediumDashed">
        <color indexed="64"/>
      </left>
      <right/>
      <top/>
      <bottom/>
      <diagonal/>
    </border>
    <border>
      <left/>
      <right style="mediumDashed">
        <color indexed="64"/>
      </right>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bottom style="dotted">
        <color indexed="64"/>
      </bottom>
      <diagonal/>
    </border>
    <border>
      <left style="thick">
        <color indexed="64"/>
      </left>
      <right style="thick">
        <color indexed="64"/>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auto="1"/>
      </left>
      <right style="thick">
        <color indexed="64"/>
      </right>
      <top style="thin">
        <color auto="1"/>
      </top>
      <bottom style="thick">
        <color indexed="64"/>
      </bottom>
      <diagonal/>
    </border>
    <border>
      <left style="thick">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ck">
        <color indexed="64"/>
      </right>
      <top style="double">
        <color indexed="64"/>
      </top>
      <bottom style="thin">
        <color indexed="64"/>
      </bottom>
      <diagonal/>
    </border>
    <border>
      <left style="thick">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ck">
        <color indexed="64"/>
      </right>
      <top style="thin">
        <color indexed="64"/>
      </top>
      <bottom style="double">
        <color indexed="64"/>
      </bottom>
      <diagonal/>
    </border>
    <border>
      <left style="thick">
        <color indexed="64"/>
      </left>
      <right style="thin">
        <color indexed="64"/>
      </right>
      <top style="thick">
        <color indexed="64"/>
      </top>
      <bottom style="double">
        <color indexed="64"/>
      </bottom>
      <diagonal/>
    </border>
    <border>
      <left style="thin">
        <color indexed="64"/>
      </left>
      <right style="thick">
        <color indexed="64"/>
      </right>
      <top style="thick">
        <color indexed="64"/>
      </top>
      <bottom style="double">
        <color indexed="64"/>
      </bottom>
      <diagonal/>
    </border>
    <border>
      <left style="thick">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ck">
        <color auto="1"/>
      </top>
      <bottom/>
      <diagonal/>
    </border>
    <border>
      <left style="thin">
        <color auto="1"/>
      </left>
      <right style="thick">
        <color auto="1"/>
      </right>
      <top style="thick">
        <color auto="1"/>
      </top>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n">
        <color auto="1"/>
      </left>
      <right style="thin">
        <color auto="1"/>
      </right>
      <top style="thick">
        <color auto="1"/>
      </top>
      <bottom style="thin">
        <color auto="1"/>
      </bottom>
      <diagonal/>
    </border>
    <border>
      <left style="thick">
        <color indexed="64"/>
      </left>
      <right style="thin">
        <color indexed="64"/>
      </right>
      <top style="thick">
        <color indexed="64"/>
      </top>
      <bottom style="thick">
        <color indexed="64"/>
      </bottom>
      <diagonal/>
    </border>
    <border>
      <left/>
      <right/>
      <top style="thick">
        <color indexed="64"/>
      </top>
      <bottom style="thick">
        <color indexed="64"/>
      </bottom>
      <diagonal/>
    </border>
    <border>
      <left style="thick">
        <color auto="1"/>
      </left>
      <right/>
      <top style="thick">
        <color auto="1"/>
      </top>
      <bottom style="thick">
        <color auto="1"/>
      </bottom>
      <diagonal/>
    </border>
    <border>
      <left style="thick">
        <color auto="1"/>
      </left>
      <right style="double">
        <color auto="1"/>
      </right>
      <top style="thick">
        <color auto="1"/>
      </top>
      <bottom style="thin">
        <color auto="1"/>
      </bottom>
      <diagonal/>
    </border>
    <border>
      <left style="double">
        <color auto="1"/>
      </left>
      <right style="thick">
        <color indexed="64"/>
      </right>
      <top style="thick">
        <color auto="1"/>
      </top>
      <bottom style="thin">
        <color auto="1"/>
      </bottom>
      <diagonal/>
    </border>
    <border>
      <left style="thick">
        <color auto="1"/>
      </left>
      <right style="double">
        <color auto="1"/>
      </right>
      <top style="thin">
        <color auto="1"/>
      </top>
      <bottom style="thin">
        <color auto="1"/>
      </bottom>
      <diagonal/>
    </border>
    <border>
      <left style="double">
        <color auto="1"/>
      </left>
      <right style="thick">
        <color indexed="64"/>
      </right>
      <top style="thin">
        <color auto="1"/>
      </top>
      <bottom style="thin">
        <color auto="1"/>
      </bottom>
      <diagonal/>
    </border>
    <border>
      <left style="thick">
        <color auto="1"/>
      </left>
      <right style="double">
        <color auto="1"/>
      </right>
      <top style="thin">
        <color auto="1"/>
      </top>
      <bottom style="thick">
        <color indexed="64"/>
      </bottom>
      <diagonal/>
    </border>
    <border>
      <left/>
      <right style="thick">
        <color indexed="64"/>
      </right>
      <top style="thin">
        <color auto="1"/>
      </top>
      <bottom style="thick">
        <color indexed="64"/>
      </bottom>
      <diagonal/>
    </border>
    <border>
      <left style="thin">
        <color auto="1"/>
      </left>
      <right style="thin">
        <color auto="1"/>
      </right>
      <top style="thick">
        <color auto="1"/>
      </top>
      <bottom style="thick">
        <color indexed="64"/>
      </bottom>
      <diagonal/>
    </border>
    <border>
      <left style="thin">
        <color auto="1"/>
      </left>
      <right style="thick">
        <color indexed="64"/>
      </right>
      <top style="thick">
        <color auto="1"/>
      </top>
      <bottom style="thick">
        <color indexed="64"/>
      </bottom>
      <diagonal/>
    </border>
    <border>
      <left style="medium">
        <color indexed="64"/>
      </left>
      <right/>
      <top/>
      <bottom/>
      <diagonal/>
    </border>
    <border>
      <left style="thin">
        <color auto="1"/>
      </left>
      <right style="thin">
        <color auto="1"/>
      </right>
      <top style="thick">
        <color auto="1"/>
      </top>
      <bottom/>
      <diagonal/>
    </border>
    <border>
      <left style="thick">
        <color rgb="FFFF0000"/>
      </left>
      <right style="double">
        <color auto="1"/>
      </right>
      <top style="thick">
        <color rgb="FFFF0000"/>
      </top>
      <bottom style="thin">
        <color auto="1"/>
      </bottom>
      <diagonal/>
    </border>
    <border>
      <left style="double">
        <color auto="1"/>
      </left>
      <right style="thick">
        <color rgb="FFFF0000"/>
      </right>
      <top style="thick">
        <color rgb="FFFF0000"/>
      </top>
      <bottom style="thin">
        <color auto="1"/>
      </bottom>
      <diagonal/>
    </border>
    <border>
      <left style="thick">
        <color rgb="FFFF0000"/>
      </left>
      <right style="double">
        <color auto="1"/>
      </right>
      <top style="thin">
        <color auto="1"/>
      </top>
      <bottom style="thin">
        <color auto="1"/>
      </bottom>
      <diagonal/>
    </border>
    <border>
      <left style="double">
        <color auto="1"/>
      </left>
      <right style="thick">
        <color rgb="FFFF0000"/>
      </right>
      <top style="thin">
        <color auto="1"/>
      </top>
      <bottom style="thin">
        <color auto="1"/>
      </bottom>
      <diagonal/>
    </border>
    <border>
      <left style="thick">
        <color rgb="FFFF0000"/>
      </left>
      <right style="double">
        <color auto="1"/>
      </right>
      <top style="thin">
        <color auto="1"/>
      </top>
      <bottom style="thick">
        <color rgb="FFFF0000"/>
      </bottom>
      <diagonal/>
    </border>
    <border>
      <left style="double">
        <color auto="1"/>
      </left>
      <right style="thick">
        <color rgb="FFFF0000"/>
      </right>
      <top style="thin">
        <color auto="1"/>
      </top>
      <bottom style="thick">
        <color rgb="FFFF0000"/>
      </bottom>
      <diagonal/>
    </border>
    <border>
      <left style="thick">
        <color auto="1"/>
      </left>
      <right style="double">
        <color auto="1"/>
      </right>
      <top style="thick">
        <color auto="1"/>
      </top>
      <bottom style="thick">
        <color rgb="FFFF0000"/>
      </bottom>
      <diagonal/>
    </border>
    <border>
      <left style="double">
        <color auto="1"/>
      </left>
      <right style="thick">
        <color auto="1"/>
      </right>
      <top style="thick">
        <color auto="1"/>
      </top>
      <bottom style="thick">
        <color rgb="FFFF0000"/>
      </bottom>
      <diagonal/>
    </border>
    <border>
      <left/>
      <right/>
      <top style="medium">
        <color indexed="64"/>
      </top>
      <bottom/>
      <diagonal/>
    </border>
    <border>
      <left style="thick">
        <color indexed="64"/>
      </left>
      <right style="thick">
        <color indexed="64"/>
      </right>
      <top style="thick">
        <color indexed="64"/>
      </top>
      <bottom style="double">
        <color indexed="64"/>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diagonal/>
    </border>
    <border>
      <left style="thick">
        <color rgb="FF00B050"/>
      </left>
      <right style="thin">
        <color auto="1"/>
      </right>
      <top style="thick">
        <color rgb="FF00B050"/>
      </top>
      <bottom style="thin">
        <color auto="1"/>
      </bottom>
      <diagonal/>
    </border>
    <border>
      <left style="thin">
        <color auto="1"/>
      </left>
      <right style="thin">
        <color auto="1"/>
      </right>
      <top style="thick">
        <color rgb="FF00B050"/>
      </top>
      <bottom style="thin">
        <color auto="1"/>
      </bottom>
      <diagonal/>
    </border>
    <border>
      <left style="thin">
        <color auto="1"/>
      </left>
      <right style="thick">
        <color rgb="FF00B050"/>
      </right>
      <top style="thick">
        <color rgb="FF00B050"/>
      </top>
      <bottom style="thin">
        <color auto="1"/>
      </bottom>
      <diagonal/>
    </border>
    <border>
      <left style="thick">
        <color rgb="FF00B050"/>
      </left>
      <right style="thin">
        <color auto="1"/>
      </right>
      <top style="thin">
        <color indexed="64"/>
      </top>
      <bottom style="double">
        <color indexed="64"/>
      </bottom>
      <diagonal/>
    </border>
    <border>
      <left style="thin">
        <color auto="1"/>
      </left>
      <right style="thick">
        <color rgb="FF00B050"/>
      </right>
      <top style="thin">
        <color indexed="64"/>
      </top>
      <bottom style="double">
        <color indexed="64"/>
      </bottom>
      <diagonal/>
    </border>
    <border>
      <left style="thick">
        <color rgb="FF00B050"/>
      </left>
      <right style="thin">
        <color auto="1"/>
      </right>
      <top/>
      <bottom style="thin">
        <color auto="1"/>
      </bottom>
      <diagonal/>
    </border>
    <border>
      <left style="thin">
        <color auto="1"/>
      </left>
      <right style="thick">
        <color rgb="FF00B050"/>
      </right>
      <top/>
      <bottom style="thin">
        <color auto="1"/>
      </bottom>
      <diagonal/>
    </border>
    <border>
      <left style="thin">
        <color auto="1"/>
      </left>
      <right style="thick">
        <color rgb="FF00B050"/>
      </right>
      <top style="thin">
        <color indexed="64"/>
      </top>
      <bottom style="thin">
        <color indexed="64"/>
      </bottom>
      <diagonal/>
    </border>
    <border>
      <left style="thick">
        <color rgb="FF00B050"/>
      </left>
      <right style="thin">
        <color auto="1"/>
      </right>
      <top style="thin">
        <color indexed="64"/>
      </top>
      <bottom style="thin">
        <color indexed="64"/>
      </bottom>
      <diagonal/>
    </border>
    <border>
      <left style="thick">
        <color rgb="FFFF0000"/>
      </left>
      <right/>
      <top style="thick">
        <color rgb="FFFF0000"/>
      </top>
      <bottom/>
      <diagonal/>
    </border>
    <border>
      <left style="thick">
        <color indexed="64"/>
      </left>
      <right style="thick">
        <color rgb="FFFF0000"/>
      </right>
      <top style="thick">
        <color rgb="FFFF0000"/>
      </top>
      <bottom style="thin">
        <color indexed="64"/>
      </bottom>
      <diagonal/>
    </border>
    <border>
      <left style="thick">
        <color rgb="FFFF0000"/>
      </left>
      <right/>
      <top/>
      <bottom/>
      <diagonal/>
    </border>
    <border>
      <left style="thick">
        <color indexed="64"/>
      </left>
      <right style="thick">
        <color rgb="FFFF0000"/>
      </right>
      <top style="thin">
        <color indexed="64"/>
      </top>
      <bottom style="thin">
        <color indexed="64"/>
      </bottom>
      <diagonal/>
    </border>
    <border>
      <left style="thick">
        <color rgb="FFFF0000"/>
      </left>
      <right/>
      <top/>
      <bottom style="thick">
        <color rgb="FFFF0000"/>
      </bottom>
      <diagonal/>
    </border>
    <border>
      <left style="thick">
        <color indexed="64"/>
      </left>
      <right style="thick">
        <color rgb="FFFF0000"/>
      </right>
      <top style="thin">
        <color indexed="64"/>
      </top>
      <bottom style="thick">
        <color rgb="FFFF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indexed="64"/>
      </right>
      <top style="thin">
        <color indexed="64"/>
      </top>
      <bottom style="double">
        <color indexed="64"/>
      </bottom>
      <diagonal/>
    </border>
    <border>
      <left style="thin">
        <color indexed="64"/>
      </left>
      <right style="medium">
        <color auto="1"/>
      </right>
      <top style="thin">
        <color indexed="64"/>
      </top>
      <bottom style="double">
        <color indexed="64"/>
      </bottom>
      <diagonal/>
    </border>
    <border>
      <left style="thick">
        <color rgb="FF00B050"/>
      </left>
      <right style="thin">
        <color auto="1"/>
      </right>
      <top/>
      <bottom/>
      <diagonal/>
    </border>
    <border>
      <left style="thin">
        <color auto="1"/>
      </left>
      <right style="thin">
        <color auto="1"/>
      </right>
      <top/>
      <bottom/>
      <diagonal/>
    </border>
    <border>
      <left style="thin">
        <color auto="1"/>
      </left>
      <right style="thick">
        <color rgb="FF00B050"/>
      </right>
      <top/>
      <bottom/>
      <diagonal/>
    </border>
    <border>
      <left style="thick">
        <color rgb="FF00B050"/>
      </left>
      <right style="thin">
        <color auto="1"/>
      </right>
      <top/>
      <bottom style="thick">
        <color rgb="FF00B050"/>
      </bottom>
      <diagonal/>
    </border>
    <border>
      <left style="thin">
        <color auto="1"/>
      </left>
      <right style="thin">
        <color auto="1"/>
      </right>
      <top/>
      <bottom style="thick">
        <color rgb="FF00B050"/>
      </bottom>
      <diagonal/>
    </border>
    <border>
      <left style="thin">
        <color auto="1"/>
      </left>
      <right style="thick">
        <color rgb="FF00B050"/>
      </right>
      <top/>
      <bottom style="thick">
        <color rgb="FF00B050"/>
      </bottom>
      <diagonal/>
    </border>
    <border>
      <left style="medium">
        <color auto="1"/>
      </left>
      <right style="thin">
        <color auto="1"/>
      </right>
      <top style="double">
        <color indexed="64"/>
      </top>
      <bottom style="thin">
        <color auto="1"/>
      </bottom>
      <diagonal/>
    </border>
    <border>
      <left style="thin">
        <color auto="1"/>
      </left>
      <right style="medium">
        <color auto="1"/>
      </right>
      <top style="double">
        <color indexed="64"/>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4">
    <xf numFmtId="0" fontId="0" fillId="0" borderId="0"/>
    <xf numFmtId="44" fontId="1" fillId="0" borderId="0" applyFont="0" applyFill="0" applyBorder="0" applyAlignment="0" applyProtection="0"/>
    <xf numFmtId="44" fontId="1" fillId="0" borderId="0" applyFont="0" applyFill="0" applyBorder="0" applyAlignment="0" applyProtection="0"/>
    <xf numFmtId="0" fontId="1" fillId="0" borderId="0"/>
  </cellStyleXfs>
  <cellXfs count="516">
    <xf numFmtId="0" fontId="0" fillId="0" borderId="0" xfId="0"/>
    <xf numFmtId="0" fontId="2" fillId="0" borderId="0" xfId="0" applyFont="1"/>
    <xf numFmtId="0" fontId="0" fillId="0" borderId="0" xfId="0" applyAlignment="1">
      <alignment horizontal="right"/>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8" xfId="0" applyBorder="1"/>
    <xf numFmtId="166" fontId="0" fillId="0" borderId="0" xfId="1" applyNumberFormat="1" applyFont="1"/>
    <xf numFmtId="0" fontId="0" fillId="0" borderId="2" xfId="0" applyBorder="1" applyAlignment="1">
      <alignment horizontal="center"/>
    </xf>
    <xf numFmtId="0" fontId="0" fillId="0" borderId="6" xfId="0" applyBorder="1"/>
    <xf numFmtId="0" fontId="0" fillId="0" borderId="7" xfId="0" applyBorder="1" applyAlignment="1">
      <alignment horizontal="center"/>
    </xf>
    <xf numFmtId="0" fontId="0" fillId="5" borderId="1" xfId="0" applyFill="1" applyBorder="1"/>
    <xf numFmtId="0" fontId="0" fillId="5" borderId="2" xfId="0" applyFill="1" applyBorder="1"/>
    <xf numFmtId="0" fontId="0" fillId="5" borderId="3" xfId="0" applyFill="1" applyBorder="1"/>
    <xf numFmtId="0" fontId="0" fillId="5" borderId="4" xfId="0" applyFill="1" applyBorder="1"/>
    <xf numFmtId="0" fontId="0" fillId="5" borderId="0" xfId="0" applyFill="1"/>
    <xf numFmtId="44" fontId="0" fillId="5" borderId="0" xfId="0" applyNumberFormat="1" applyFill="1" applyAlignment="1">
      <alignment vertical="center"/>
    </xf>
    <xf numFmtId="0" fontId="0" fillId="5" borderId="5" xfId="0" applyFill="1" applyBorder="1"/>
    <xf numFmtId="0" fontId="3" fillId="5" borderId="0" xfId="0" applyFont="1" applyFill="1"/>
    <xf numFmtId="0" fontId="11" fillId="5" borderId="0" xfId="0" applyFont="1" applyFill="1" applyAlignment="1">
      <alignment horizontal="left" vertical="center"/>
    </xf>
    <xf numFmtId="0" fontId="0" fillId="5" borderId="0" xfId="0" applyFill="1" applyAlignment="1">
      <alignment vertical="center"/>
    </xf>
    <xf numFmtId="0" fontId="0" fillId="5" borderId="0" xfId="0" applyFill="1" applyAlignment="1">
      <alignment horizontal="right" vertical="center"/>
    </xf>
    <xf numFmtId="168" fontId="0" fillId="5" borderId="0" xfId="0" applyNumberFormat="1" applyFill="1"/>
    <xf numFmtId="0" fontId="0" fillId="3" borderId="1" xfId="0" applyFill="1" applyBorder="1"/>
    <xf numFmtId="0" fontId="5" fillId="3" borderId="2" xfId="0" applyFont="1" applyFill="1" applyBorder="1"/>
    <xf numFmtId="0" fontId="0" fillId="3" borderId="2" xfId="0" applyFill="1" applyBorder="1"/>
    <xf numFmtId="0" fontId="0" fillId="3" borderId="2" xfId="0" applyFill="1" applyBorder="1" applyAlignment="1">
      <alignment vertical="center"/>
    </xf>
    <xf numFmtId="0" fontId="0" fillId="3" borderId="3" xfId="0" applyFill="1" applyBorder="1"/>
    <xf numFmtId="0" fontId="0" fillId="3" borderId="4" xfId="0" applyFill="1" applyBorder="1"/>
    <xf numFmtId="0" fontId="5" fillId="3" borderId="0" xfId="0" applyFont="1" applyFill="1"/>
    <xf numFmtId="0" fontId="0" fillId="3" borderId="13" xfId="0" applyFill="1" applyBorder="1"/>
    <xf numFmtId="0" fontId="0" fillId="3" borderId="0" xfId="0" applyFill="1"/>
    <xf numFmtId="0" fontId="0" fillId="3" borderId="0" xfId="0" applyFill="1" applyAlignment="1">
      <alignment vertical="center"/>
    </xf>
    <xf numFmtId="0" fontId="0" fillId="3" borderId="5" xfId="0" applyFill="1" applyBorder="1"/>
    <xf numFmtId="0" fontId="3" fillId="3" borderId="0" xfId="0" applyFont="1" applyFill="1"/>
    <xf numFmtId="0" fontId="11" fillId="3" borderId="0" xfId="0" applyFont="1" applyFill="1" applyAlignment="1">
      <alignment horizontal="left" vertical="center"/>
    </xf>
    <xf numFmtId="0" fontId="14" fillId="3" borderId="0" xfId="0" applyFont="1" applyFill="1" applyAlignment="1">
      <alignment horizontal="left" vertical="center"/>
    </xf>
    <xf numFmtId="0" fontId="0" fillId="3" borderId="0" xfId="0" applyFill="1" applyAlignment="1">
      <alignment horizontal="left"/>
    </xf>
    <xf numFmtId="0" fontId="0" fillId="3" borderId="0" xfId="0" applyFill="1" applyAlignment="1">
      <alignment horizontal="right" vertical="center"/>
    </xf>
    <xf numFmtId="44" fontId="0" fillId="3" borderId="16" xfId="0" applyNumberFormat="1" applyFill="1" applyBorder="1" applyAlignment="1">
      <alignment vertical="center"/>
    </xf>
    <xf numFmtId="0" fontId="13" fillId="3" borderId="0" xfId="0" applyFont="1" applyFill="1" applyAlignment="1">
      <alignment horizontal="left" vertical="top" wrapText="1"/>
    </xf>
    <xf numFmtId="44" fontId="0" fillId="3" borderId="0" xfId="0" applyNumberFormat="1" applyFill="1" applyAlignment="1">
      <alignment vertical="center"/>
    </xf>
    <xf numFmtId="0" fontId="0" fillId="3" borderId="6" xfId="0" applyFill="1" applyBorder="1"/>
    <xf numFmtId="0" fontId="0" fillId="3" borderId="7" xfId="0" applyFill="1" applyBorder="1"/>
    <xf numFmtId="0" fontId="0" fillId="3" borderId="7" xfId="0" applyFill="1" applyBorder="1" applyAlignment="1">
      <alignment vertical="center"/>
    </xf>
    <xf numFmtId="0" fontId="0" fillId="3" borderId="8" xfId="0" applyFill="1" applyBorder="1"/>
    <xf numFmtId="0" fontId="0" fillId="5" borderId="2" xfId="0" applyFill="1" applyBorder="1" applyAlignment="1">
      <alignment vertical="center"/>
    </xf>
    <xf numFmtId="0" fontId="5" fillId="5" borderId="0" xfId="0" applyFont="1" applyFill="1"/>
    <xf numFmtId="0" fontId="9" fillId="5" borderId="0" xfId="0" applyFont="1" applyFill="1"/>
    <xf numFmtId="0" fontId="0" fillId="5" borderId="0" xfId="0" applyFill="1" applyAlignment="1">
      <alignment horizontal="left"/>
    </xf>
    <xf numFmtId="164" fontId="0" fillId="5" borderId="0" xfId="0" applyNumberFormat="1" applyFill="1"/>
    <xf numFmtId="0" fontId="0" fillId="5" borderId="0" xfId="0" applyFill="1" applyAlignment="1">
      <alignment wrapText="1"/>
    </xf>
    <xf numFmtId="0" fontId="0" fillId="5" borderId="6" xfId="0" applyFill="1" applyBorder="1"/>
    <xf numFmtId="0" fontId="0" fillId="5" borderId="7" xfId="0" applyFill="1" applyBorder="1"/>
    <xf numFmtId="0" fontId="0" fillId="5" borderId="7" xfId="0" applyFill="1" applyBorder="1" applyAlignment="1">
      <alignment vertical="center"/>
    </xf>
    <xf numFmtId="0" fontId="0" fillId="5" borderId="8" xfId="0" applyFill="1" applyBorder="1"/>
    <xf numFmtId="0" fontId="6" fillId="3" borderId="2" xfId="0" applyFont="1" applyFill="1" applyBorder="1"/>
    <xf numFmtId="0" fontId="6" fillId="3" borderId="0" xfId="0" applyFont="1" applyFill="1"/>
    <xf numFmtId="0" fontId="0" fillId="3" borderId="0" xfId="0" applyFill="1" applyAlignment="1">
      <alignment vertical="top"/>
    </xf>
    <xf numFmtId="0" fontId="0" fillId="3" borderId="0" xfId="0" applyFill="1" applyAlignment="1">
      <alignment vertical="center" wrapText="1"/>
    </xf>
    <xf numFmtId="0" fontId="12" fillId="3" borderId="0" xfId="0" applyFont="1" applyFill="1" applyAlignment="1">
      <alignment horizontal="left" vertical="center" wrapText="1"/>
    </xf>
    <xf numFmtId="164" fontId="0" fillId="3" borderId="0" xfId="0" applyNumberFormat="1" applyFill="1" applyAlignment="1">
      <alignment vertical="center"/>
    </xf>
    <xf numFmtId="44" fontId="0" fillId="3" borderId="14" xfId="0" applyNumberFormat="1" applyFill="1" applyBorder="1" applyAlignment="1">
      <alignment vertical="center"/>
    </xf>
    <xf numFmtId="0" fontId="12" fillId="5" borderId="2" xfId="0" applyFont="1" applyFill="1" applyBorder="1" applyAlignment="1">
      <alignment horizontal="left" vertical="top" wrapText="1"/>
    </xf>
    <xf numFmtId="0" fontId="0" fillId="4" borderId="0" xfId="0" applyFill="1"/>
    <xf numFmtId="0" fontId="12" fillId="5" borderId="0" xfId="0" applyFont="1" applyFill="1" applyAlignment="1">
      <alignment vertical="top"/>
    </xf>
    <xf numFmtId="0" fontId="17" fillId="5" borderId="0" xfId="0" applyFont="1" applyFill="1" applyAlignment="1">
      <alignment vertical="top" wrapText="1"/>
    </xf>
    <xf numFmtId="0" fontId="0" fillId="5" borderId="0" xfId="0" applyFill="1" applyAlignment="1">
      <alignment vertical="top"/>
    </xf>
    <xf numFmtId="0" fontId="0" fillId="5" borderId="0" xfId="0" applyFill="1" applyAlignment="1">
      <alignment horizontal="center" wrapText="1"/>
    </xf>
    <xf numFmtId="164" fontId="0" fillId="5" borderId="0" xfId="0" applyNumberFormat="1" applyFill="1" applyAlignment="1">
      <alignment horizontal="right" vertical="center"/>
    </xf>
    <xf numFmtId="166" fontId="0" fillId="5" borderId="0" xfId="0" applyNumberFormat="1" applyFill="1" applyAlignment="1">
      <alignment vertical="center"/>
    </xf>
    <xf numFmtId="164" fontId="0" fillId="5" borderId="0" xfId="0" applyNumberFormat="1" applyFill="1" applyAlignment="1">
      <alignment vertical="center"/>
    </xf>
    <xf numFmtId="0" fontId="10" fillId="5" borderId="0" xfId="0" applyFont="1" applyFill="1"/>
    <xf numFmtId="0" fontId="7" fillId="5" borderId="0" xfId="0" applyFont="1" applyFill="1" applyAlignment="1">
      <alignment vertical="top"/>
    </xf>
    <xf numFmtId="165" fontId="0" fillId="5" borderId="0" xfId="0" applyNumberFormat="1" applyFill="1" applyAlignment="1">
      <alignment vertical="center"/>
    </xf>
    <xf numFmtId="169" fontId="0" fillId="5" borderId="0" xfId="0" applyNumberFormat="1" applyFill="1" applyAlignment="1">
      <alignment vertical="center"/>
    </xf>
    <xf numFmtId="0" fontId="0" fillId="5" borderId="7" xfId="0" applyFill="1" applyBorder="1" applyAlignment="1">
      <alignment horizontal="right" vertical="center"/>
    </xf>
    <xf numFmtId="0" fontId="6" fillId="3" borderId="0" xfId="0" applyFont="1" applyFill="1" applyAlignment="1">
      <alignment vertical="top"/>
    </xf>
    <xf numFmtId="0" fontId="0" fillId="2" borderId="0" xfId="0" applyFill="1"/>
    <xf numFmtId="0" fontId="17" fillId="3" borderId="0" xfId="0" applyFont="1" applyFill="1" applyAlignment="1">
      <alignment vertical="top"/>
    </xf>
    <xf numFmtId="166" fontId="0" fillId="5" borderId="0" xfId="1" applyNumberFormat="1" applyFont="1" applyFill="1" applyBorder="1" applyAlignment="1" applyProtection="1">
      <alignment vertical="center"/>
    </xf>
    <xf numFmtId="0" fontId="0" fillId="5" borderId="0" xfId="0" applyFill="1" applyAlignment="1">
      <alignment horizontal="left" wrapText="1"/>
    </xf>
    <xf numFmtId="0" fontId="0" fillId="5" borderId="0" xfId="0" applyFill="1" applyAlignment="1">
      <alignment vertical="center" wrapText="1"/>
    </xf>
    <xf numFmtId="0" fontId="11" fillId="5" borderId="0" xfId="0" applyFont="1" applyFill="1" applyAlignment="1">
      <alignment vertical="center"/>
    </xf>
    <xf numFmtId="0" fontId="0" fillId="5" borderId="0" xfId="0" applyFill="1" applyAlignment="1">
      <alignment vertical="top" wrapText="1"/>
    </xf>
    <xf numFmtId="0" fontId="0" fillId="5" borderId="0" xfId="0" applyFill="1" applyAlignment="1">
      <alignment horizontal="left" vertical="center" wrapText="1"/>
    </xf>
    <xf numFmtId="0" fontId="13" fillId="5" borderId="0" xfId="0" applyFont="1" applyFill="1" applyAlignment="1">
      <alignment horizontal="left" vertical="center" wrapText="1"/>
    </xf>
    <xf numFmtId="0" fontId="0" fillId="5" borderId="27" xfId="0" applyFill="1" applyBorder="1"/>
    <xf numFmtId="0" fontId="12" fillId="5" borderId="28" xfId="0" applyFont="1" applyFill="1" applyBorder="1" applyAlignment="1">
      <alignment horizontal="left" vertical="top" wrapText="1"/>
    </xf>
    <xf numFmtId="0" fontId="0" fillId="5" borderId="28" xfId="0" applyFill="1" applyBorder="1"/>
    <xf numFmtId="0" fontId="0" fillId="5" borderId="28" xfId="0" applyFill="1" applyBorder="1" applyAlignment="1">
      <alignment vertical="center"/>
    </xf>
    <xf numFmtId="0" fontId="0" fillId="5" borderId="29" xfId="0" applyFill="1" applyBorder="1"/>
    <xf numFmtId="0" fontId="13" fillId="5" borderId="9" xfId="0" applyFont="1" applyFill="1" applyBorder="1" applyAlignment="1">
      <alignment horizontal="left" vertical="center" wrapText="1"/>
    </xf>
    <xf numFmtId="0" fontId="0" fillId="5" borderId="9" xfId="0" applyFill="1" applyBorder="1" applyAlignment="1">
      <alignment vertical="top" wrapText="1"/>
    </xf>
    <xf numFmtId="0" fontId="0" fillId="5" borderId="9" xfId="0" applyFill="1" applyBorder="1"/>
    <xf numFmtId="0" fontId="0" fillId="5" borderId="9" xfId="0" applyFill="1" applyBorder="1" applyAlignment="1">
      <alignment vertical="center"/>
    </xf>
    <xf numFmtId="44" fontId="0" fillId="5" borderId="9" xfId="0" applyNumberFormat="1" applyFill="1" applyBorder="1" applyAlignment="1">
      <alignment vertical="center"/>
    </xf>
    <xf numFmtId="0" fontId="0" fillId="5" borderId="10" xfId="0" applyFill="1" applyBorder="1"/>
    <xf numFmtId="0" fontId="8" fillId="3" borderId="2" xfId="0" applyFont="1" applyFill="1" applyBorder="1" applyAlignment="1">
      <alignment vertical="center"/>
    </xf>
    <xf numFmtId="0" fontId="16" fillId="3" borderId="2" xfId="0" applyFont="1" applyFill="1" applyBorder="1" applyAlignment="1">
      <alignment vertical="center" wrapText="1"/>
    </xf>
    <xf numFmtId="0" fontId="8" fillId="3" borderId="0" xfId="0" applyFont="1" applyFill="1" applyAlignment="1">
      <alignment vertical="center"/>
    </xf>
    <xf numFmtId="0" fontId="16" fillId="3" borderId="0" xfId="0" applyFont="1" applyFill="1" applyAlignment="1">
      <alignment vertical="center" wrapText="1"/>
    </xf>
    <xf numFmtId="0" fontId="8" fillId="3" borderId="0" xfId="0" applyFont="1" applyFill="1" applyAlignment="1">
      <alignment horizontal="center" vertical="center"/>
    </xf>
    <xf numFmtId="44" fontId="0" fillId="0" borderId="0" xfId="0" applyNumberFormat="1"/>
    <xf numFmtId="0" fontId="0" fillId="3" borderId="12" xfId="0" applyFill="1" applyBorder="1" applyAlignment="1">
      <alignment horizontal="right" vertical="center"/>
    </xf>
    <xf numFmtId="0" fontId="0" fillId="3" borderId="5" xfId="0" applyFill="1" applyBorder="1" applyAlignment="1">
      <alignment horizontal="center" vertical="center"/>
    </xf>
    <xf numFmtId="0" fontId="15" fillId="3" borderId="0" xfId="0" applyFont="1" applyFill="1" applyAlignment="1">
      <alignment horizontal="right" vertical="center"/>
    </xf>
    <xf numFmtId="0" fontId="2" fillId="3" borderId="0" xfId="0" applyFont="1" applyFill="1" applyAlignment="1">
      <alignment horizontal="right" vertical="center"/>
    </xf>
    <xf numFmtId="0" fontId="0" fillId="3" borderId="0" xfId="0" applyFill="1" applyAlignment="1">
      <alignment vertical="top" wrapText="1"/>
    </xf>
    <xf numFmtId="0" fontId="0" fillId="0" borderId="0" xfId="0" quotePrefix="1"/>
    <xf numFmtId="0" fontId="13" fillId="5" borderId="30" xfId="0" applyFont="1" applyFill="1" applyBorder="1" applyAlignment="1">
      <alignment vertical="center" wrapText="1"/>
    </xf>
    <xf numFmtId="0" fontId="13" fillId="5" borderId="7" xfId="0" applyFont="1" applyFill="1" applyBorder="1" applyAlignment="1">
      <alignment vertical="center" wrapText="1"/>
    </xf>
    <xf numFmtId="0" fontId="18" fillId="3" borderId="0" xfId="0" applyFont="1" applyFill="1" applyAlignment="1">
      <alignment vertical="top"/>
    </xf>
    <xf numFmtId="0" fontId="2" fillId="0" borderId="4" xfId="0" applyFont="1" applyBorder="1"/>
    <xf numFmtId="0" fontId="0" fillId="0" borderId="4" xfId="0" applyBorder="1" applyAlignment="1">
      <alignment horizontal="right"/>
    </xf>
    <xf numFmtId="0" fontId="0" fillId="0" borderId="7" xfId="0" applyBorder="1"/>
    <xf numFmtId="0" fontId="0" fillId="0" borderId="4" xfId="0" applyBorder="1" applyAlignment="1">
      <alignment horizontal="left"/>
    </xf>
    <xf numFmtId="0" fontId="3" fillId="2" borderId="16" xfId="0" applyFont="1" applyFill="1" applyBorder="1" applyAlignment="1" applyProtection="1">
      <alignment horizontal="center" vertical="center"/>
      <protection locked="0"/>
    </xf>
    <xf numFmtId="164" fontId="0" fillId="5" borderId="16" xfId="0" applyNumberFormat="1" applyFill="1" applyBorder="1" applyAlignment="1">
      <alignment horizontal="right" vertical="center"/>
    </xf>
    <xf numFmtId="44" fontId="0" fillId="3" borderId="16" xfId="0" applyNumberFormat="1" applyFill="1" applyBorder="1" applyAlignment="1">
      <alignment horizontal="right" vertical="center"/>
    </xf>
    <xf numFmtId="44" fontId="0" fillId="3" borderId="18" xfId="0" applyNumberFormat="1" applyFill="1" applyBorder="1" applyAlignment="1">
      <alignment horizontal="right" vertical="center"/>
    </xf>
    <xf numFmtId="44" fontId="0" fillId="5" borderId="16" xfId="0" applyNumberFormat="1" applyFill="1" applyBorder="1" applyAlignment="1">
      <alignment horizontal="right" vertical="center"/>
    </xf>
    <xf numFmtId="0" fontId="0" fillId="5" borderId="0" xfId="0" applyFill="1" applyAlignment="1">
      <alignment horizontal="center"/>
    </xf>
    <xf numFmtId="44" fontId="0" fillId="3" borderId="0" xfId="0" applyNumberFormat="1" applyFill="1" applyAlignment="1">
      <alignment horizontal="right" vertical="center"/>
    </xf>
    <xf numFmtId="166" fontId="11" fillId="5" borderId="16" xfId="1" applyNumberFormat="1" applyFont="1" applyFill="1" applyBorder="1" applyAlignment="1" applyProtection="1">
      <alignment horizontal="right" vertical="center"/>
    </xf>
    <xf numFmtId="44" fontId="0" fillId="7" borderId="11" xfId="1" applyFont="1" applyFill="1" applyBorder="1"/>
    <xf numFmtId="44" fontId="0" fillId="7" borderId="36" xfId="1" applyFont="1" applyFill="1" applyBorder="1"/>
    <xf numFmtId="44" fontId="0" fillId="7" borderId="37" xfId="1" applyFont="1" applyFill="1" applyBorder="1"/>
    <xf numFmtId="44" fontId="0" fillId="7" borderId="38" xfId="1" applyFont="1" applyFill="1" applyBorder="1"/>
    <xf numFmtId="44" fontId="0" fillId="7" borderId="39" xfId="1" applyFont="1" applyFill="1" applyBorder="1"/>
    <xf numFmtId="44" fontId="0" fillId="7" borderId="40" xfId="1" applyFont="1" applyFill="1" applyBorder="1"/>
    <xf numFmtId="44" fontId="0" fillId="7" borderId="41" xfId="1" applyFont="1" applyFill="1" applyBorder="1"/>
    <xf numFmtId="0" fontId="0" fillId="7" borderId="53" xfId="0" applyFill="1" applyBorder="1"/>
    <xf numFmtId="0" fontId="0" fillId="7" borderId="55" xfId="0" applyFill="1" applyBorder="1"/>
    <xf numFmtId="0" fontId="0" fillId="7" borderId="31" xfId="0" applyFill="1" applyBorder="1" applyAlignment="1">
      <alignment horizontal="right"/>
    </xf>
    <xf numFmtId="170" fontId="0" fillId="7" borderId="53" xfId="0" applyNumberFormat="1" applyFill="1" applyBorder="1"/>
    <xf numFmtId="170" fontId="0" fillId="7" borderId="54" xfId="0" applyNumberFormat="1" applyFill="1" applyBorder="1"/>
    <xf numFmtId="0" fontId="0" fillId="7" borderId="57" xfId="0" applyFill="1" applyBorder="1"/>
    <xf numFmtId="0" fontId="0" fillId="7" borderId="32" xfId="0" applyFill="1" applyBorder="1"/>
    <xf numFmtId="0" fontId="0" fillId="7" borderId="58" xfId="0" applyFill="1" applyBorder="1"/>
    <xf numFmtId="0" fontId="0" fillId="7" borderId="31" xfId="0" applyFill="1" applyBorder="1"/>
    <xf numFmtId="0" fontId="0" fillId="8" borderId="34" xfId="0" applyFill="1" applyBorder="1"/>
    <xf numFmtId="0" fontId="0" fillId="8" borderId="35" xfId="0" applyFill="1" applyBorder="1"/>
    <xf numFmtId="44" fontId="0" fillId="7" borderId="49" xfId="0" applyNumberFormat="1" applyFill="1" applyBorder="1"/>
    <xf numFmtId="44" fontId="0" fillId="7" borderId="56" xfId="0" applyNumberFormat="1" applyFill="1" applyBorder="1"/>
    <xf numFmtId="44" fontId="0" fillId="7" borderId="50" xfId="0" applyNumberFormat="1" applyFill="1" applyBorder="1"/>
    <xf numFmtId="44" fontId="0" fillId="7" borderId="36" xfId="0" applyNumberFormat="1" applyFill="1" applyBorder="1"/>
    <xf numFmtId="44" fontId="0" fillId="7" borderId="11" xfId="0" applyNumberFormat="1" applyFill="1" applyBorder="1"/>
    <xf numFmtId="44" fontId="0" fillId="7" borderId="37" xfId="0" applyNumberFormat="1" applyFill="1" applyBorder="1"/>
    <xf numFmtId="44" fontId="0" fillId="7" borderId="38" xfId="0" applyNumberFormat="1" applyFill="1" applyBorder="1"/>
    <xf numFmtId="44" fontId="0" fillId="7" borderId="39" xfId="0" applyNumberFormat="1" applyFill="1" applyBorder="1"/>
    <xf numFmtId="44" fontId="0" fillId="7" borderId="40" xfId="0" applyNumberFormat="1" applyFill="1" applyBorder="1"/>
    <xf numFmtId="0" fontId="0" fillId="7" borderId="59" xfId="0" applyFill="1" applyBorder="1"/>
    <xf numFmtId="44" fontId="0" fillId="7" borderId="31" xfId="1" applyFont="1" applyFill="1" applyBorder="1"/>
    <xf numFmtId="0" fontId="0" fillId="7" borderId="56" xfId="0" applyFill="1" applyBorder="1"/>
    <xf numFmtId="0" fontId="0" fillId="7" borderId="50" xfId="0" applyFill="1" applyBorder="1"/>
    <xf numFmtId="44" fontId="0" fillId="7" borderId="31" xfId="0" applyNumberFormat="1" applyFill="1" applyBorder="1"/>
    <xf numFmtId="172" fontId="0" fillId="7" borderId="31" xfId="0" applyNumberFormat="1" applyFill="1" applyBorder="1"/>
    <xf numFmtId="172" fontId="0" fillId="7" borderId="59" xfId="0" applyNumberFormat="1" applyFill="1" applyBorder="1"/>
    <xf numFmtId="172" fontId="0" fillId="6" borderId="15" xfId="0" applyNumberFormat="1" applyFill="1" applyBorder="1"/>
    <xf numFmtId="172" fontId="0" fillId="6" borderId="11" xfId="0" applyNumberFormat="1" applyFill="1" applyBorder="1"/>
    <xf numFmtId="173" fontId="0" fillId="7" borderId="55" xfId="0" applyNumberFormat="1" applyFill="1" applyBorder="1"/>
    <xf numFmtId="166" fontId="0" fillId="7" borderId="54" xfId="1" applyNumberFormat="1" applyFont="1" applyFill="1" applyBorder="1"/>
    <xf numFmtId="166" fontId="0" fillId="7" borderId="55" xfId="1" applyNumberFormat="1" applyFont="1" applyFill="1" applyBorder="1"/>
    <xf numFmtId="166" fontId="0" fillId="6" borderId="60" xfId="1" applyNumberFormat="1" applyFont="1" applyFill="1" applyBorder="1"/>
    <xf numFmtId="166" fontId="0" fillId="6" borderId="61" xfId="1" applyNumberFormat="1" applyFont="1" applyFill="1" applyBorder="1"/>
    <xf numFmtId="166" fontId="0" fillId="7" borderId="62" xfId="1" applyNumberFormat="1" applyFont="1" applyFill="1" applyBorder="1"/>
    <xf numFmtId="166" fontId="0" fillId="7" borderId="63" xfId="1" applyNumberFormat="1" applyFont="1" applyFill="1" applyBorder="1"/>
    <xf numFmtId="166" fontId="0" fillId="7" borderId="64" xfId="1" applyNumberFormat="1" applyFont="1" applyFill="1" applyBorder="1"/>
    <xf numFmtId="0" fontId="0" fillId="6" borderId="50" xfId="0" applyFill="1" applyBorder="1"/>
    <xf numFmtId="0" fontId="0" fillId="7" borderId="66" xfId="0" applyFill="1" applyBorder="1"/>
    <xf numFmtId="0" fontId="0" fillId="7" borderId="67" xfId="0" applyFill="1" applyBorder="1"/>
    <xf numFmtId="172" fontId="0" fillId="7" borderId="67" xfId="0" applyNumberFormat="1" applyFill="1" applyBorder="1"/>
    <xf numFmtId="0" fontId="0" fillId="8" borderId="44" xfId="0" applyFill="1" applyBorder="1" applyAlignment="1">
      <alignment horizontal="center"/>
    </xf>
    <xf numFmtId="0" fontId="0" fillId="8" borderId="45" xfId="0" applyFill="1" applyBorder="1" applyAlignment="1">
      <alignment horizontal="center"/>
    </xf>
    <xf numFmtId="0" fontId="0" fillId="8" borderId="46" xfId="0" applyFill="1" applyBorder="1" applyAlignment="1">
      <alignment horizontal="center"/>
    </xf>
    <xf numFmtId="0" fontId="0" fillId="8" borderId="47" xfId="0" applyFill="1" applyBorder="1" applyAlignment="1">
      <alignment horizontal="center"/>
    </xf>
    <xf numFmtId="0" fontId="0" fillId="8" borderId="48" xfId="0" applyFill="1" applyBorder="1" applyAlignment="1">
      <alignment horizontal="center"/>
    </xf>
    <xf numFmtId="0" fontId="0" fillId="8" borderId="49" xfId="0" applyFill="1" applyBorder="1"/>
    <xf numFmtId="0" fontId="0" fillId="8" borderId="56" xfId="0" applyFill="1" applyBorder="1"/>
    <xf numFmtId="0" fontId="0" fillId="8" borderId="50" xfId="0" applyFill="1" applyBorder="1"/>
    <xf numFmtId="0" fontId="0" fillId="8" borderId="45" xfId="0" applyFill="1" applyBorder="1"/>
    <xf numFmtId="0" fontId="0" fillId="8" borderId="33" xfId="0" applyFill="1" applyBorder="1"/>
    <xf numFmtId="0" fontId="0" fillId="8" borderId="51" xfId="0" applyFill="1" applyBorder="1" applyAlignment="1">
      <alignment horizontal="center"/>
    </xf>
    <xf numFmtId="0" fontId="0" fillId="8" borderId="52" xfId="0" applyFill="1" applyBorder="1" applyAlignment="1">
      <alignment horizontal="center"/>
    </xf>
    <xf numFmtId="0" fontId="0" fillId="3" borderId="2" xfId="0" applyFill="1" applyBorder="1" applyAlignment="1">
      <alignment vertical="center" wrapText="1"/>
    </xf>
    <xf numFmtId="166" fontId="11" fillId="0" borderId="16" xfId="1" applyNumberFormat="1" applyFont="1" applyFill="1" applyBorder="1" applyAlignment="1" applyProtection="1">
      <alignment horizontal="right" vertical="center"/>
      <protection locked="0"/>
    </xf>
    <xf numFmtId="164" fontId="0" fillId="3" borderId="0" xfId="0" applyNumberFormat="1" applyFill="1" applyAlignment="1">
      <alignment horizontal="right" vertical="center"/>
    </xf>
    <xf numFmtId="0" fontId="0" fillId="5" borderId="0" xfId="0" applyFill="1" applyAlignment="1">
      <alignment horizontal="left" vertical="top" wrapText="1"/>
    </xf>
    <xf numFmtId="44" fontId="0" fillId="0" borderId="0" xfId="1" applyFont="1"/>
    <xf numFmtId="0" fontId="21" fillId="0" borderId="0" xfId="0" applyFont="1"/>
    <xf numFmtId="0" fontId="5" fillId="5" borderId="2" xfId="0" applyFont="1" applyFill="1" applyBorder="1"/>
    <xf numFmtId="44" fontId="0" fillId="5" borderId="16" xfId="0" applyNumberFormat="1" applyFill="1" applyBorder="1" applyAlignment="1">
      <alignment vertical="center"/>
    </xf>
    <xf numFmtId="44" fontId="0" fillId="3" borderId="18" xfId="0" applyNumberFormat="1" applyFill="1" applyBorder="1" applyAlignment="1">
      <alignment vertical="center"/>
    </xf>
    <xf numFmtId="0" fontId="0" fillId="5" borderId="18" xfId="0" applyFill="1" applyBorder="1" applyAlignment="1">
      <alignment horizontal="left" vertical="center" wrapText="1"/>
    </xf>
    <xf numFmtId="0" fontId="0" fillId="5" borderId="19" xfId="0" applyFill="1" applyBorder="1" applyAlignment="1">
      <alignment horizontal="left" vertical="center" wrapText="1"/>
    </xf>
    <xf numFmtId="0" fontId="3" fillId="3" borderId="0" xfId="0" applyFont="1" applyFill="1" applyAlignment="1">
      <alignment horizontal="center" vertical="center"/>
    </xf>
    <xf numFmtId="0" fontId="0" fillId="5" borderId="0" xfId="0" applyFill="1" applyAlignment="1">
      <alignment horizontal="center" vertical="center"/>
    </xf>
    <xf numFmtId="0" fontId="3" fillId="5" borderId="0" xfId="0" applyFont="1" applyFill="1" applyAlignment="1">
      <alignment horizontal="center" vertical="center"/>
    </xf>
    <xf numFmtId="0" fontId="11" fillId="5" borderId="0" xfId="0" applyFont="1" applyFill="1" applyAlignment="1">
      <alignment horizontal="center" vertical="center"/>
    </xf>
    <xf numFmtId="0" fontId="0" fillId="3" borderId="0" xfId="0" applyFill="1" applyAlignment="1">
      <alignment horizontal="center" vertical="center"/>
    </xf>
    <xf numFmtId="166" fontId="11" fillId="5" borderId="16" xfId="1" applyNumberFormat="1" applyFont="1" applyFill="1" applyBorder="1" applyAlignment="1" applyProtection="1">
      <alignment horizontal="left" vertical="center"/>
    </xf>
    <xf numFmtId="166" fontId="11" fillId="2" borderId="16" xfId="1" applyNumberFormat="1" applyFont="1" applyFill="1" applyBorder="1" applyAlignment="1" applyProtection="1">
      <alignment horizontal="left" vertical="center"/>
      <protection locked="0"/>
    </xf>
    <xf numFmtId="164" fontId="0" fillId="5" borderId="16" xfId="0" applyNumberFormat="1" applyFill="1" applyBorder="1" applyAlignment="1">
      <alignment horizontal="center" vertical="center"/>
    </xf>
    <xf numFmtId="166" fontId="0" fillId="2" borderId="16" xfId="0" applyNumberFormat="1" applyFill="1" applyBorder="1" applyAlignment="1" applyProtection="1">
      <alignment horizontal="center" vertical="center"/>
      <protection locked="0"/>
    </xf>
    <xf numFmtId="0" fontId="0" fillId="3" borderId="0" xfId="0" applyFill="1" applyAlignment="1">
      <alignment horizontal="center"/>
    </xf>
    <xf numFmtId="0" fontId="17" fillId="5" borderId="0" xfId="0" applyFont="1" applyFill="1" applyAlignment="1">
      <alignment vertical="top"/>
    </xf>
    <xf numFmtId="0" fontId="0" fillId="3" borderId="2" xfId="0" applyFill="1" applyBorder="1" applyAlignment="1">
      <alignment horizontal="center" vertical="center"/>
    </xf>
    <xf numFmtId="44" fontId="0" fillId="3" borderId="0" xfId="0" applyNumberFormat="1" applyFill="1" applyAlignment="1">
      <alignment horizontal="center" vertical="center"/>
    </xf>
    <xf numFmtId="0" fontId="22" fillId="0" borderId="0" xfId="0" applyFont="1"/>
    <xf numFmtId="0" fontId="18" fillId="5" borderId="0" xfId="0" applyFont="1" applyFill="1" applyAlignment="1">
      <alignment vertical="top"/>
    </xf>
    <xf numFmtId="0" fontId="0" fillId="5" borderId="0" xfId="0" applyFill="1" applyAlignment="1">
      <alignment horizontal="right"/>
    </xf>
    <xf numFmtId="0" fontId="0" fillId="5" borderId="0" xfId="0" applyFill="1" applyAlignment="1">
      <alignment horizontal="left" vertical="center"/>
    </xf>
    <xf numFmtId="0" fontId="12" fillId="5" borderId="0" xfId="0" applyFont="1" applyFill="1" applyAlignment="1">
      <alignment horizontal="left" vertical="top"/>
    </xf>
    <xf numFmtId="44" fontId="14" fillId="5" borderId="16" xfId="0" applyNumberFormat="1" applyFont="1" applyFill="1" applyBorder="1" applyAlignment="1">
      <alignment vertical="center"/>
    </xf>
    <xf numFmtId="44" fontId="14" fillId="3" borderId="16" xfId="0" applyNumberFormat="1" applyFont="1" applyFill="1" applyBorder="1" applyAlignment="1">
      <alignment horizontal="right" vertical="center"/>
    </xf>
    <xf numFmtId="164" fontId="14" fillId="5" borderId="16" xfId="0" applyNumberFormat="1" applyFont="1" applyFill="1" applyBorder="1" applyAlignment="1">
      <alignment horizontal="right" vertical="center"/>
    </xf>
    <xf numFmtId="44" fontId="14" fillId="5" borderId="16" xfId="0" applyNumberFormat="1" applyFont="1" applyFill="1" applyBorder="1" applyAlignment="1">
      <alignment horizontal="right" vertical="center"/>
    </xf>
    <xf numFmtId="164" fontId="14" fillId="3" borderId="16" xfId="0" applyNumberFormat="1" applyFont="1" applyFill="1" applyBorder="1" applyAlignment="1">
      <alignment horizontal="right" vertical="center"/>
    </xf>
    <xf numFmtId="44" fontId="14" fillId="3" borderId="14" xfId="0" applyNumberFormat="1" applyFont="1" applyFill="1" applyBorder="1" applyAlignment="1">
      <alignment horizontal="right" vertical="center"/>
    </xf>
    <xf numFmtId="166" fontId="14" fillId="5" borderId="16" xfId="0" applyNumberFormat="1" applyFont="1" applyFill="1" applyBorder="1" applyAlignment="1">
      <alignment horizontal="right" vertical="center"/>
    </xf>
    <xf numFmtId="165" fontId="14" fillId="5" borderId="16" xfId="0" applyNumberFormat="1" applyFont="1" applyFill="1" applyBorder="1" applyAlignment="1">
      <alignment vertical="center"/>
    </xf>
    <xf numFmtId="169" fontId="14" fillId="5" borderId="16" xfId="0" applyNumberFormat="1" applyFont="1" applyFill="1" applyBorder="1" applyAlignment="1">
      <alignment vertical="center"/>
    </xf>
    <xf numFmtId="0" fontId="14" fillId="0" borderId="16" xfId="0" applyFont="1" applyBorder="1" applyAlignment="1" applyProtection="1">
      <alignment horizontal="center" vertical="center"/>
      <protection locked="0"/>
    </xf>
    <xf numFmtId="44" fontId="14" fillId="2" borderId="16" xfId="1" applyFont="1" applyFill="1" applyBorder="1" applyAlignment="1" applyProtection="1">
      <alignment horizontal="right" vertical="center"/>
      <protection locked="0"/>
    </xf>
    <xf numFmtId="44" fontId="11" fillId="3" borderId="16" xfId="0" applyNumberFormat="1" applyFont="1" applyFill="1" applyBorder="1" applyAlignment="1">
      <alignment horizontal="right" vertical="center"/>
    </xf>
    <xf numFmtId="0" fontId="14" fillId="5" borderId="19" xfId="0" applyFont="1" applyFill="1" applyBorder="1" applyAlignment="1">
      <alignment vertical="center"/>
    </xf>
    <xf numFmtId="0" fontId="0" fillId="8" borderId="1" xfId="0" applyFill="1" applyBorder="1"/>
    <xf numFmtId="0" fontId="0" fillId="8" borderId="2" xfId="0" applyFill="1" applyBorder="1"/>
    <xf numFmtId="0" fontId="0" fillId="8" borderId="3" xfId="0" applyFill="1" applyBorder="1"/>
    <xf numFmtId="0" fontId="0" fillId="8" borderId="4" xfId="0" applyFill="1" applyBorder="1" applyAlignment="1">
      <alignment horizontal="center"/>
    </xf>
    <xf numFmtId="0" fontId="0" fillId="8" borderId="0" xfId="0" applyFill="1" applyAlignment="1">
      <alignment horizontal="center"/>
    </xf>
    <xf numFmtId="0" fontId="0" fillId="8" borderId="5" xfId="0" applyFill="1" applyBorder="1"/>
    <xf numFmtId="44" fontId="0" fillId="7" borderId="49" xfId="1" applyFont="1" applyFill="1" applyBorder="1"/>
    <xf numFmtId="44" fontId="0" fillId="7" borderId="56" xfId="1" applyFont="1" applyFill="1" applyBorder="1"/>
    <xf numFmtId="44" fontId="0" fillId="7" borderId="50" xfId="1" applyFont="1" applyFill="1" applyBorder="1"/>
    <xf numFmtId="0" fontId="0" fillId="8" borderId="8" xfId="0" applyFill="1" applyBorder="1"/>
    <xf numFmtId="0" fontId="0" fillId="8" borderId="4" xfId="0" applyFill="1" applyBorder="1"/>
    <xf numFmtId="0" fontId="0" fillId="8" borderId="0" xfId="0" applyFill="1"/>
    <xf numFmtId="0" fontId="0" fillId="7" borderId="49" xfId="0" applyFill="1" applyBorder="1"/>
    <xf numFmtId="0" fontId="0" fillId="7" borderId="54" xfId="0" applyFill="1" applyBorder="1"/>
    <xf numFmtId="0" fontId="0" fillId="7" borderId="36" xfId="0" applyFill="1" applyBorder="1"/>
    <xf numFmtId="0" fontId="0" fillId="7" borderId="11" xfId="0" applyFill="1" applyBorder="1"/>
    <xf numFmtId="0" fontId="0" fillId="7" borderId="37" xfId="0" applyFill="1" applyBorder="1"/>
    <xf numFmtId="0" fontId="0" fillId="7" borderId="38" xfId="0" applyFill="1" applyBorder="1"/>
    <xf numFmtId="0" fontId="0" fillId="7" borderId="39" xfId="0" applyFill="1" applyBorder="1"/>
    <xf numFmtId="0" fontId="0" fillId="7" borderId="40" xfId="0" applyFill="1" applyBorder="1"/>
    <xf numFmtId="44" fontId="0" fillId="7" borderId="57" xfId="1" applyFont="1" applyFill="1" applyBorder="1"/>
    <xf numFmtId="166" fontId="0" fillId="8" borderId="49" xfId="1" applyNumberFormat="1" applyFont="1" applyFill="1" applyBorder="1"/>
    <xf numFmtId="166" fontId="0" fillId="8" borderId="50" xfId="1" applyNumberFormat="1" applyFont="1" applyFill="1" applyBorder="1"/>
    <xf numFmtId="166" fontId="0" fillId="6" borderId="36" xfId="1" applyNumberFormat="1" applyFont="1" applyFill="1" applyBorder="1"/>
    <xf numFmtId="166" fontId="0" fillId="6" borderId="37" xfId="1" applyNumberFormat="1" applyFont="1" applyFill="1" applyBorder="1"/>
    <xf numFmtId="166" fontId="0" fillId="7" borderId="36" xfId="1" applyNumberFormat="1" applyFont="1" applyFill="1" applyBorder="1"/>
    <xf numFmtId="166" fontId="0" fillId="7" borderId="37" xfId="1" applyNumberFormat="1" applyFont="1" applyFill="1" applyBorder="1"/>
    <xf numFmtId="166" fontId="0" fillId="7" borderId="38" xfId="1" applyNumberFormat="1" applyFont="1" applyFill="1" applyBorder="1"/>
    <xf numFmtId="0" fontId="0" fillId="7" borderId="57" xfId="0" applyFill="1" applyBorder="1" applyAlignment="1">
      <alignment horizontal="center"/>
    </xf>
    <xf numFmtId="0" fontId="0" fillId="7" borderId="66" xfId="0" applyFill="1" applyBorder="1" applyAlignment="1">
      <alignment horizontal="center"/>
    </xf>
    <xf numFmtId="0" fontId="0" fillId="7" borderId="67" xfId="0" applyFill="1" applyBorder="1" applyAlignment="1">
      <alignment horizontal="center"/>
    </xf>
    <xf numFmtId="0" fontId="0" fillId="8" borderId="36" xfId="0" applyFill="1" applyBorder="1"/>
    <xf numFmtId="0" fontId="0" fillId="8" borderId="37" xfId="0" applyFill="1" applyBorder="1"/>
    <xf numFmtId="0" fontId="0" fillId="8" borderId="38" xfId="0" applyFill="1" applyBorder="1"/>
    <xf numFmtId="0" fontId="0" fillId="8" borderId="40" xfId="0" applyFill="1" applyBorder="1"/>
    <xf numFmtId="44" fontId="14" fillId="3" borderId="16" xfId="0" applyNumberFormat="1" applyFont="1" applyFill="1" applyBorder="1" applyAlignment="1">
      <alignment vertical="center"/>
    </xf>
    <xf numFmtId="44" fontId="11" fillId="3" borderId="16" xfId="0" applyNumberFormat="1" applyFont="1" applyFill="1" applyBorder="1" applyAlignment="1">
      <alignment horizontal="center" vertical="center"/>
    </xf>
    <xf numFmtId="44" fontId="14" fillId="2" borderId="16" xfId="1" applyFont="1" applyFill="1" applyBorder="1" applyAlignment="1" applyProtection="1">
      <alignment horizontal="center" vertical="center"/>
      <protection locked="0"/>
    </xf>
    <xf numFmtId="44" fontId="14" fillId="3" borderId="16" xfId="0" applyNumberFormat="1" applyFont="1" applyFill="1" applyBorder="1" applyAlignment="1">
      <alignment horizontal="center" vertical="center"/>
    </xf>
    <xf numFmtId="164" fontId="14" fillId="5" borderId="16" xfId="0" applyNumberFormat="1" applyFont="1" applyFill="1" applyBorder="1" applyAlignment="1">
      <alignment vertical="center"/>
    </xf>
    <xf numFmtId="37" fontId="14" fillId="2" borderId="16" xfId="1" applyNumberFormat="1" applyFont="1" applyFill="1" applyBorder="1" applyAlignment="1" applyProtection="1">
      <alignment horizontal="center" vertical="center"/>
      <protection locked="0"/>
    </xf>
    <xf numFmtId="0" fontId="14" fillId="2" borderId="17" xfId="0" applyFont="1" applyFill="1" applyBorder="1" applyAlignment="1" applyProtection="1">
      <alignment horizontal="center" vertical="center"/>
      <protection locked="0"/>
    </xf>
    <xf numFmtId="0" fontId="14" fillId="5" borderId="19" xfId="0" applyFont="1" applyFill="1" applyBorder="1" applyAlignment="1">
      <alignment horizontal="center" vertical="center"/>
    </xf>
    <xf numFmtId="166" fontId="14" fillId="5" borderId="16" xfId="0" applyNumberFormat="1" applyFont="1" applyFill="1" applyBorder="1" applyAlignment="1">
      <alignment vertical="center"/>
    </xf>
    <xf numFmtId="164" fontId="14" fillId="3" borderId="16" xfId="0" applyNumberFormat="1" applyFont="1" applyFill="1" applyBorder="1" applyAlignment="1">
      <alignment vertical="center"/>
    </xf>
    <xf numFmtId="44" fontId="0" fillId="9" borderId="43" xfId="1" applyFont="1" applyFill="1" applyBorder="1"/>
    <xf numFmtId="44" fontId="0" fillId="9" borderId="11" xfId="1" applyFont="1" applyFill="1" applyBorder="1"/>
    <xf numFmtId="44" fontId="0" fillId="9" borderId="37" xfId="1" applyFont="1" applyFill="1" applyBorder="1"/>
    <xf numFmtId="44" fontId="0" fillId="9" borderId="39" xfId="1" applyFont="1" applyFill="1" applyBorder="1"/>
    <xf numFmtId="44" fontId="0" fillId="9" borderId="40" xfId="1" applyFont="1" applyFill="1" applyBorder="1"/>
    <xf numFmtId="0" fontId="0" fillId="9" borderId="11" xfId="0" applyFill="1" applyBorder="1"/>
    <xf numFmtId="0" fontId="0" fillId="6" borderId="11" xfId="0" applyFill="1" applyBorder="1"/>
    <xf numFmtId="0" fontId="0" fillId="8" borderId="11" xfId="0" applyFill="1" applyBorder="1"/>
    <xf numFmtId="171" fontId="0" fillId="0" borderId="0" xfId="0" applyNumberFormat="1"/>
    <xf numFmtId="0" fontId="11" fillId="5" borderId="19" xfId="0" applyFont="1" applyFill="1" applyBorder="1" applyAlignment="1">
      <alignment horizontal="left" vertical="center"/>
    </xf>
    <xf numFmtId="0" fontId="18" fillId="5" borderId="0" xfId="0" applyFont="1" applyFill="1" applyAlignment="1">
      <alignment vertical="top" wrapText="1"/>
    </xf>
    <xf numFmtId="166" fontId="11" fillId="2" borderId="16" xfId="1" applyNumberFormat="1" applyFont="1" applyFill="1" applyBorder="1" applyAlignment="1" applyProtection="1">
      <alignment horizontal="right" vertical="center"/>
      <protection locked="0"/>
    </xf>
    <xf numFmtId="0" fontId="2" fillId="5" borderId="0" xfId="0" applyFont="1" applyFill="1" applyAlignment="1">
      <alignment vertical="center"/>
    </xf>
    <xf numFmtId="0" fontId="2" fillId="5" borderId="0" xfId="0" applyFont="1" applyFill="1"/>
    <xf numFmtId="0" fontId="11" fillId="5" borderId="18" xfId="0" applyFont="1" applyFill="1" applyBorder="1" applyAlignment="1">
      <alignment vertical="center"/>
    </xf>
    <xf numFmtId="0" fontId="11" fillId="5" borderId="0" xfId="0" applyFont="1" applyFill="1" applyAlignment="1">
      <alignment horizontal="right" vertical="center"/>
    </xf>
    <xf numFmtId="0" fontId="0" fillId="5" borderId="19" xfId="0" applyFill="1" applyBorder="1"/>
    <xf numFmtId="0" fontId="4" fillId="5" borderId="0" xfId="0" applyFont="1" applyFill="1" applyAlignment="1">
      <alignment horizontal="center" vertical="center" wrapText="1"/>
    </xf>
    <xf numFmtId="0" fontId="3" fillId="5" borderId="0" xfId="0" applyFont="1" applyFill="1" applyAlignment="1" applyProtection="1">
      <alignment horizontal="center" vertical="center"/>
      <protection locked="0"/>
    </xf>
    <xf numFmtId="0" fontId="11" fillId="5" borderId="0" xfId="0" applyFont="1" applyFill="1" applyAlignment="1">
      <alignment vertical="top" wrapText="1"/>
    </xf>
    <xf numFmtId="0" fontId="11" fillId="5" borderId="0" xfId="0" applyFont="1" applyFill="1" applyAlignment="1">
      <alignment horizontal="center" vertical="center" wrapText="1"/>
    </xf>
    <xf numFmtId="0" fontId="11" fillId="5" borderId="0" xfId="0" applyFont="1" applyFill="1" applyAlignment="1">
      <alignment horizontal="left" vertical="top" wrapText="1"/>
    </xf>
    <xf numFmtId="0" fontId="11" fillId="5" borderId="0" xfId="0" applyFont="1" applyFill="1" applyAlignment="1">
      <alignment vertical="top"/>
    </xf>
    <xf numFmtId="44" fontId="0" fillId="7" borderId="59" xfId="1" applyFont="1" applyFill="1" applyBorder="1"/>
    <xf numFmtId="0" fontId="0" fillId="7" borderId="31" xfId="0" applyFill="1" applyBorder="1" applyAlignment="1">
      <alignment horizontal="center"/>
    </xf>
    <xf numFmtId="0" fontId="0" fillId="10" borderId="4" xfId="0" applyFill="1" applyBorder="1"/>
    <xf numFmtId="0" fontId="0" fillId="10" borderId="0" xfId="0" applyFill="1"/>
    <xf numFmtId="0" fontId="0" fillId="10" borderId="0" xfId="0" applyFill="1" applyAlignment="1">
      <alignment vertical="top" wrapText="1"/>
    </xf>
    <xf numFmtId="164" fontId="0" fillId="10" borderId="0" xfId="0" applyNumberFormat="1" applyFill="1"/>
    <xf numFmtId="0" fontId="0" fillId="10" borderId="0" xfId="0" applyFill="1" applyAlignment="1">
      <alignment vertical="center"/>
    </xf>
    <xf numFmtId="0" fontId="23" fillId="0" borderId="17" xfId="0" applyFont="1" applyBorder="1" applyAlignment="1" applyProtection="1">
      <alignment horizontal="center" vertical="center"/>
      <protection locked="0"/>
    </xf>
    <xf numFmtId="0" fontId="11" fillId="5" borderId="0" xfId="0" applyFont="1" applyFill="1"/>
    <xf numFmtId="0" fontId="4" fillId="0" borderId="0" xfId="0" applyFont="1" applyAlignment="1">
      <alignment vertical="center"/>
    </xf>
    <xf numFmtId="8" fontId="0" fillId="0" borderId="0" xfId="0" applyNumberFormat="1"/>
    <xf numFmtId="0" fontId="5" fillId="0" borderId="0" xfId="0" applyFont="1"/>
    <xf numFmtId="0" fontId="1" fillId="0" borderId="0" xfId="0" applyFont="1"/>
    <xf numFmtId="0" fontId="0" fillId="11" borderId="70" xfId="0" applyFill="1" applyBorder="1"/>
    <xf numFmtId="167" fontId="0" fillId="7" borderId="71" xfId="1" applyNumberFormat="1" applyFont="1" applyFill="1" applyBorder="1"/>
    <xf numFmtId="0" fontId="0" fillId="11" borderId="72" xfId="0" applyFill="1" applyBorder="1"/>
    <xf numFmtId="167" fontId="0" fillId="7" borderId="73" xfId="1" applyNumberFormat="1" applyFont="1" applyFill="1" applyBorder="1"/>
    <xf numFmtId="0" fontId="1" fillId="11" borderId="74" xfId="0" applyFont="1" applyFill="1" applyBorder="1"/>
    <xf numFmtId="167" fontId="0" fillId="7" borderId="75" xfId="1" applyNumberFormat="1" applyFont="1" applyFill="1" applyBorder="1"/>
    <xf numFmtId="0" fontId="2" fillId="11" borderId="76" xfId="0" applyFont="1" applyFill="1" applyBorder="1"/>
    <xf numFmtId="0" fontId="2" fillId="11" borderId="77" xfId="0" applyFont="1" applyFill="1" applyBorder="1"/>
    <xf numFmtId="44" fontId="0" fillId="9" borderId="38" xfId="1" applyFont="1" applyFill="1" applyBorder="1"/>
    <xf numFmtId="44" fontId="0" fillId="9" borderId="36" xfId="1" applyFont="1" applyFill="1" applyBorder="1"/>
    <xf numFmtId="0" fontId="15" fillId="5" borderId="0" xfId="0" applyFont="1" applyFill="1" applyAlignment="1">
      <alignment horizontal="right"/>
    </xf>
    <xf numFmtId="0" fontId="0" fillId="12" borderId="0" xfId="0" applyFill="1"/>
    <xf numFmtId="170" fontId="0" fillId="12" borderId="54" xfId="0" applyNumberFormat="1" applyFill="1" applyBorder="1"/>
    <xf numFmtId="0" fontId="13" fillId="5" borderId="0" xfId="0" applyFont="1" applyFill="1" applyAlignment="1">
      <alignment vertical="center" wrapText="1"/>
    </xf>
    <xf numFmtId="0" fontId="15" fillId="10" borderId="0" xfId="0" applyFont="1" applyFill="1" applyAlignment="1">
      <alignment horizontal="right" vertical="top"/>
    </xf>
    <xf numFmtId="0" fontId="15" fillId="5" borderId="0" xfId="0" applyFont="1" applyFill="1" applyAlignment="1">
      <alignment horizontal="right" vertical="top"/>
    </xf>
    <xf numFmtId="0" fontId="15" fillId="3" borderId="0" xfId="0" applyFont="1" applyFill="1" applyAlignment="1">
      <alignment horizontal="right" vertical="top"/>
    </xf>
    <xf numFmtId="164" fontId="15" fillId="5" borderId="0" xfId="0" applyNumberFormat="1" applyFont="1" applyFill="1" applyAlignment="1">
      <alignment horizontal="right" vertical="top"/>
    </xf>
    <xf numFmtId="0" fontId="15" fillId="3" borderId="7" xfId="0" applyFont="1" applyFill="1" applyBorder="1" applyAlignment="1">
      <alignment horizontal="right" vertical="top"/>
    </xf>
    <xf numFmtId="0" fontId="0" fillId="5" borderId="78" xfId="0" applyFill="1" applyBorder="1" applyAlignment="1">
      <alignment horizontal="left"/>
    </xf>
    <xf numFmtId="0" fontId="0" fillId="5" borderId="78" xfId="0" applyFill="1" applyBorder="1"/>
    <xf numFmtId="170" fontId="0" fillId="13" borderId="54" xfId="0" applyNumberFormat="1" applyFill="1" applyBorder="1"/>
    <xf numFmtId="170" fontId="0" fillId="13" borderId="55" xfId="0" applyNumberFormat="1" applyFill="1" applyBorder="1"/>
    <xf numFmtId="173" fontId="0" fillId="7" borderId="54" xfId="0" applyNumberFormat="1" applyFill="1" applyBorder="1"/>
    <xf numFmtId="170" fontId="0" fillId="12" borderId="0" xfId="0" applyNumberFormat="1" applyFill="1"/>
    <xf numFmtId="170" fontId="0" fillId="13" borderId="80" xfId="0" applyNumberFormat="1" applyFill="1" applyBorder="1"/>
    <xf numFmtId="170" fontId="0" fillId="12" borderId="80" xfId="0" applyNumberFormat="1" applyFill="1" applyBorder="1"/>
    <xf numFmtId="0" fontId="0" fillId="12" borderId="79" xfId="0" applyFill="1" applyBorder="1"/>
    <xf numFmtId="174" fontId="0" fillId="0" borderId="0" xfId="0" applyNumberFormat="1"/>
    <xf numFmtId="0" fontId="0" fillId="0" borderId="65" xfId="0" applyBorder="1"/>
    <xf numFmtId="9" fontId="0" fillId="6" borderId="31" xfId="0" applyNumberFormat="1" applyFill="1" applyBorder="1" applyAlignment="1">
      <alignment horizontal="left"/>
    </xf>
    <xf numFmtId="44" fontId="0" fillId="9" borderId="42" xfId="1" applyFont="1" applyFill="1" applyBorder="1"/>
    <xf numFmtId="0" fontId="11" fillId="5" borderId="78" xfId="0" applyFont="1" applyFill="1" applyBorder="1" applyAlignment="1">
      <alignment horizontal="left" vertical="center"/>
    </xf>
    <xf numFmtId="44" fontId="0" fillId="14" borderId="41" xfId="1" applyFont="1" applyFill="1" applyBorder="1"/>
    <xf numFmtId="44" fontId="0" fillId="14" borderId="36" xfId="1" applyFont="1" applyFill="1" applyBorder="1"/>
    <xf numFmtId="172" fontId="0" fillId="14" borderId="31" xfId="0" applyNumberFormat="1" applyFill="1" applyBorder="1"/>
    <xf numFmtId="170" fontId="0" fillId="12" borderId="81" xfId="0" applyNumberFormat="1" applyFill="1" applyBorder="1"/>
    <xf numFmtId="0" fontId="0" fillId="8" borderId="85" xfId="0" applyFill="1" applyBorder="1"/>
    <xf numFmtId="0" fontId="0" fillId="8" borderId="86" xfId="0" applyFill="1" applyBorder="1"/>
    <xf numFmtId="172" fontId="0" fillId="6" borderId="87" xfId="0" applyNumberFormat="1" applyFill="1" applyBorder="1"/>
    <xf numFmtId="172" fontId="0" fillId="6" borderId="88" xfId="0" applyNumberFormat="1" applyFill="1" applyBorder="1"/>
    <xf numFmtId="172" fontId="0" fillId="6" borderId="89" xfId="0" applyNumberFormat="1" applyFill="1" applyBorder="1"/>
    <xf numFmtId="172" fontId="0" fillId="6" borderId="90" xfId="0" applyNumberFormat="1" applyFill="1" applyBorder="1"/>
    <xf numFmtId="0" fontId="25" fillId="0" borderId="0" xfId="0" applyFont="1" applyAlignment="1">
      <alignment horizontal="right"/>
    </xf>
    <xf numFmtId="0" fontId="25" fillId="0" borderId="0" xfId="0" applyFont="1"/>
    <xf numFmtId="0" fontId="0" fillId="12" borderId="7" xfId="0" applyFill="1" applyBorder="1"/>
    <xf numFmtId="0" fontId="0" fillId="0" borderId="91" xfId="0" applyBorder="1" applyAlignment="1">
      <alignment horizontal="right"/>
    </xf>
    <xf numFmtId="172" fontId="0" fillId="14" borderId="92" xfId="0" applyNumberFormat="1" applyFill="1" applyBorder="1"/>
    <xf numFmtId="0" fontId="0" fillId="0" borderId="93" xfId="0" applyBorder="1" applyAlignment="1">
      <alignment horizontal="right"/>
    </xf>
    <xf numFmtId="172" fontId="0" fillId="14" borderId="94" xfId="0" applyNumberFormat="1" applyFill="1" applyBorder="1"/>
    <xf numFmtId="0" fontId="0" fillId="0" borderId="95" xfId="0" applyBorder="1" applyAlignment="1">
      <alignment horizontal="right"/>
    </xf>
    <xf numFmtId="172" fontId="0" fillId="14" borderId="96" xfId="0" applyNumberFormat="1" applyFill="1" applyBorder="1"/>
    <xf numFmtId="0" fontId="24" fillId="0" borderId="1" xfId="0" applyFont="1" applyBorder="1"/>
    <xf numFmtId="0" fontId="26" fillId="3" borderId="0" xfId="0" applyFont="1" applyFill="1"/>
    <xf numFmtId="0" fontId="26" fillId="5" borderId="13" xfId="0" applyFont="1" applyFill="1" applyBorder="1"/>
    <xf numFmtId="0" fontId="13" fillId="3" borderId="0" xfId="0" applyFont="1" applyFill="1" applyAlignment="1">
      <alignment horizontal="left" vertical="top"/>
    </xf>
    <xf numFmtId="44" fontId="0" fillId="14" borderId="41" xfId="0" applyNumberFormat="1" applyFill="1" applyBorder="1"/>
    <xf numFmtId="44" fontId="0" fillId="14" borderId="42" xfId="0" applyNumberFormat="1" applyFill="1" applyBorder="1"/>
    <xf numFmtId="44" fontId="0" fillId="14" borderId="43" xfId="0" applyNumberFormat="1" applyFill="1" applyBorder="1"/>
    <xf numFmtId="44" fontId="0" fillId="14" borderId="36" xfId="0" applyNumberFormat="1" applyFill="1" applyBorder="1"/>
    <xf numFmtId="44" fontId="0" fillId="14" borderId="11" xfId="0" applyNumberFormat="1" applyFill="1" applyBorder="1"/>
    <xf numFmtId="44" fontId="0" fillId="14" borderId="37" xfId="0" applyNumberFormat="1" applyFill="1" applyBorder="1"/>
    <xf numFmtId="44" fontId="0" fillId="14" borderId="38" xfId="0" applyNumberFormat="1" applyFill="1" applyBorder="1"/>
    <xf numFmtId="44" fontId="0" fillId="14" borderId="39" xfId="0" applyNumberFormat="1" applyFill="1" applyBorder="1"/>
    <xf numFmtId="44" fontId="0" fillId="14" borderId="40" xfId="0" applyNumberFormat="1" applyFill="1" applyBorder="1"/>
    <xf numFmtId="44" fontId="0" fillId="8" borderId="33" xfId="0" applyNumberFormat="1" applyFill="1" applyBorder="1"/>
    <xf numFmtId="44" fontId="0" fillId="8" borderId="34" xfId="0" applyNumberFormat="1" applyFill="1" applyBorder="1"/>
    <xf numFmtId="44" fontId="0" fillId="8" borderId="35" xfId="0" applyNumberFormat="1" applyFill="1" applyBorder="1"/>
    <xf numFmtId="44" fontId="0" fillId="8" borderId="44" xfId="0" applyNumberFormat="1" applyFill="1" applyBorder="1" applyAlignment="1">
      <alignment horizontal="center"/>
    </xf>
    <xf numFmtId="44" fontId="0" fillId="8" borderId="45" xfId="0" applyNumberFormat="1" applyFill="1" applyBorder="1" applyAlignment="1">
      <alignment horizontal="center"/>
    </xf>
    <xf numFmtId="44" fontId="0" fillId="8" borderId="46" xfId="0" applyNumberFormat="1" applyFill="1" applyBorder="1" applyAlignment="1">
      <alignment horizontal="center"/>
    </xf>
    <xf numFmtId="0" fontId="0" fillId="5" borderId="0" xfId="0" applyFill="1" applyAlignment="1">
      <alignment horizontal="left" vertical="top"/>
    </xf>
    <xf numFmtId="0" fontId="0" fillId="8" borderId="100" xfId="0" applyFill="1" applyBorder="1" applyAlignment="1">
      <alignment horizontal="center"/>
    </xf>
    <xf numFmtId="0" fontId="0" fillId="8" borderId="101" xfId="0" applyFill="1" applyBorder="1" applyAlignment="1">
      <alignment horizontal="center"/>
    </xf>
    <xf numFmtId="0" fontId="0" fillId="8" borderId="36" xfId="0" applyFill="1" applyBorder="1" applyAlignment="1">
      <alignment horizontal="center"/>
    </xf>
    <xf numFmtId="0" fontId="0" fillId="8" borderId="11" xfId="0" applyFill="1" applyBorder="1" applyAlignment="1">
      <alignment horizontal="center"/>
    </xf>
    <xf numFmtId="0" fontId="0" fillId="8" borderId="37" xfId="0" applyFill="1" applyBorder="1" applyAlignment="1">
      <alignment horizontal="center"/>
    </xf>
    <xf numFmtId="0" fontId="27" fillId="0" borderId="0" xfId="0" applyFont="1"/>
    <xf numFmtId="0" fontId="2" fillId="11" borderId="16" xfId="0" applyFont="1" applyFill="1" applyBorder="1"/>
    <xf numFmtId="0" fontId="0" fillId="11" borderId="16" xfId="0" applyFill="1" applyBorder="1"/>
    <xf numFmtId="167" fontId="0" fillId="7" borderId="16" xfId="1" applyNumberFormat="1" applyFont="1" applyFill="1" applyBorder="1"/>
    <xf numFmtId="0" fontId="1" fillId="11" borderId="16" xfId="0" applyFont="1" applyFill="1" applyBorder="1"/>
    <xf numFmtId="167" fontId="0" fillId="0" borderId="0" xfId="1" applyNumberFormat="1" applyFont="1" applyFill="1" applyBorder="1"/>
    <xf numFmtId="164" fontId="0" fillId="0" borderId="0" xfId="1" applyNumberFormat="1" applyFont="1" applyFill="1" applyBorder="1"/>
    <xf numFmtId="164" fontId="0" fillId="0" borderId="0" xfId="0" applyNumberFormat="1"/>
    <xf numFmtId="0" fontId="0" fillId="10" borderId="0" xfId="0" applyFill="1" applyAlignment="1">
      <alignment horizontal="center" vertical="center"/>
    </xf>
    <xf numFmtId="0" fontId="11" fillId="2" borderId="17" xfId="0" applyFont="1" applyFill="1" applyBorder="1" applyAlignment="1" applyProtection="1">
      <alignment horizontal="right" vertical="center"/>
      <protection locked="0"/>
    </xf>
    <xf numFmtId="0" fontId="18" fillId="10" borderId="0" xfId="0" applyFont="1" applyFill="1" applyAlignment="1">
      <alignment horizontal="left" vertical="top"/>
    </xf>
    <xf numFmtId="0" fontId="18" fillId="5" borderId="0" xfId="0" applyFont="1" applyFill="1" applyAlignment="1">
      <alignment vertical="center"/>
    </xf>
    <xf numFmtId="0" fontId="11" fillId="2" borderId="17" xfId="0" applyFont="1" applyFill="1" applyBorder="1" applyAlignment="1" applyProtection="1">
      <alignment horizontal="center" vertical="center"/>
      <protection locked="0"/>
    </xf>
    <xf numFmtId="0" fontId="0" fillId="0" borderId="0" xfId="0" applyAlignment="1">
      <alignment horizontal="center"/>
    </xf>
    <xf numFmtId="0" fontId="0" fillId="5" borderId="0" xfId="0" applyFill="1" applyAlignment="1">
      <alignment horizontal="right" vertical="center" wrapText="1"/>
    </xf>
    <xf numFmtId="0" fontId="15" fillId="5" borderId="0" xfId="0" applyFont="1" applyFill="1"/>
    <xf numFmtId="164" fontId="14" fillId="5" borderId="0" xfId="0" applyNumberFormat="1" applyFont="1" applyFill="1" applyAlignment="1">
      <alignment horizontal="right" vertical="center"/>
    </xf>
    <xf numFmtId="0" fontId="11" fillId="5" borderId="19" xfId="0" applyFont="1" applyFill="1" applyBorder="1" applyAlignment="1">
      <alignment horizontal="center" vertical="center"/>
    </xf>
    <xf numFmtId="0" fontId="28" fillId="15" borderId="0" xfId="0" applyFont="1" applyFill="1"/>
    <xf numFmtId="0" fontId="0" fillId="15" borderId="0" xfId="0" applyFill="1"/>
    <xf numFmtId="172" fontId="0" fillId="6" borderId="102" xfId="0" applyNumberFormat="1" applyFill="1" applyBorder="1"/>
    <xf numFmtId="172" fontId="0" fillId="6" borderId="103" xfId="0" applyNumberFormat="1" applyFill="1" applyBorder="1"/>
    <xf numFmtId="172" fontId="0" fillId="6" borderId="104" xfId="0" applyNumberFormat="1" applyFill="1" applyBorder="1"/>
    <xf numFmtId="0" fontId="0" fillId="12" borderId="8" xfId="0" applyFill="1" applyBorder="1"/>
    <xf numFmtId="172" fontId="0" fillId="6" borderId="105" xfId="0" applyNumberFormat="1" applyFill="1" applyBorder="1"/>
    <xf numFmtId="172" fontId="0" fillId="6" borderId="106" xfId="0" applyNumberFormat="1" applyFill="1" applyBorder="1"/>
    <xf numFmtId="172" fontId="0" fillId="6" borderId="107" xfId="0" applyNumberFormat="1" applyFill="1" applyBorder="1"/>
    <xf numFmtId="0" fontId="3" fillId="16" borderId="0" xfId="0" applyFont="1" applyFill="1" applyAlignment="1">
      <alignment horizontal="center" vertical="center"/>
    </xf>
    <xf numFmtId="0" fontId="0" fillId="6" borderId="37" xfId="0" applyFill="1" applyBorder="1"/>
    <xf numFmtId="0" fontId="0" fillId="6" borderId="40" xfId="0" applyFill="1" applyBorder="1"/>
    <xf numFmtId="172" fontId="0" fillId="7" borderId="108" xfId="0" applyNumberFormat="1" applyFill="1" applyBorder="1"/>
    <xf numFmtId="172" fontId="0" fillId="7" borderId="42" xfId="0" applyNumberFormat="1" applyFill="1" applyBorder="1"/>
    <xf numFmtId="172" fontId="0" fillId="7" borderId="109" xfId="0" applyNumberFormat="1" applyFill="1" applyBorder="1"/>
    <xf numFmtId="172" fontId="0" fillId="7" borderId="110" xfId="0" applyNumberFormat="1" applyFill="1" applyBorder="1"/>
    <xf numFmtId="172" fontId="0" fillId="7" borderId="11" xfId="0" applyNumberFormat="1" applyFill="1" applyBorder="1"/>
    <xf numFmtId="172" fontId="0" fillId="7" borderId="111" xfId="0" applyNumberFormat="1" applyFill="1" applyBorder="1"/>
    <xf numFmtId="172" fontId="0" fillId="7" borderId="112" xfId="0" applyNumberFormat="1" applyFill="1" applyBorder="1"/>
    <xf numFmtId="172" fontId="0" fillId="7" borderId="113" xfId="0" applyNumberFormat="1" applyFill="1" applyBorder="1"/>
    <xf numFmtId="172" fontId="0" fillId="7" borderId="114" xfId="0" applyNumberFormat="1" applyFill="1" applyBorder="1"/>
    <xf numFmtId="0" fontId="0" fillId="7" borderId="41" xfId="0" applyFill="1" applyBorder="1"/>
    <xf numFmtId="0" fontId="0" fillId="7" borderId="42" xfId="0" applyFill="1" applyBorder="1"/>
    <xf numFmtId="0" fontId="0" fillId="7" borderId="43" xfId="0" applyFill="1" applyBorder="1"/>
    <xf numFmtId="0" fontId="17" fillId="5" borderId="0" xfId="0" applyFont="1" applyFill="1" applyAlignment="1">
      <alignment vertical="center" wrapText="1"/>
    </xf>
    <xf numFmtId="0" fontId="11" fillId="5" borderId="19" xfId="0" applyFont="1" applyFill="1" applyBorder="1" applyAlignment="1">
      <alignment vertical="center"/>
    </xf>
    <xf numFmtId="0" fontId="2" fillId="5" borderId="18" xfId="0" applyFont="1" applyFill="1" applyBorder="1" applyAlignment="1">
      <alignment horizontal="left" vertical="center"/>
    </xf>
    <xf numFmtId="0" fontId="11" fillId="10" borderId="19" xfId="0" applyFont="1" applyFill="1" applyBorder="1" applyAlignment="1">
      <alignment vertical="center"/>
    </xf>
    <xf numFmtId="0" fontId="2" fillId="5" borderId="16" xfId="0" applyFont="1" applyFill="1" applyBorder="1" applyAlignment="1">
      <alignment horizontal="left" vertical="center" wrapText="1"/>
    </xf>
    <xf numFmtId="0" fontId="18" fillId="5" borderId="0" xfId="0" applyFont="1" applyFill="1" applyAlignment="1">
      <alignment horizontal="left" vertical="top" wrapText="1"/>
    </xf>
    <xf numFmtId="0" fontId="0" fillId="5" borderId="0" xfId="0" applyFill="1" applyAlignment="1">
      <alignment horizontal="left" vertical="center" wrapText="1"/>
    </xf>
    <xf numFmtId="0" fontId="11" fillId="5" borderId="17" xfId="0" applyFont="1" applyFill="1" applyBorder="1" applyAlignment="1">
      <alignment horizontal="left" vertical="center"/>
    </xf>
    <xf numFmtId="0" fontId="11" fillId="5" borderId="18" xfId="0" applyFont="1" applyFill="1" applyBorder="1" applyAlignment="1">
      <alignment horizontal="left" vertical="center"/>
    </xf>
    <xf numFmtId="0" fontId="11" fillId="5" borderId="19" xfId="0" applyFont="1" applyFill="1" applyBorder="1" applyAlignment="1">
      <alignment horizontal="left" vertical="center"/>
    </xf>
    <xf numFmtId="0" fontId="11" fillId="5" borderId="17" xfId="0" applyFont="1" applyFill="1" applyBorder="1" applyAlignment="1">
      <alignment horizontal="center" vertical="center"/>
    </xf>
    <xf numFmtId="0" fontId="11" fillId="5" borderId="18" xfId="0" applyFont="1" applyFill="1" applyBorder="1" applyAlignment="1">
      <alignment horizontal="center" vertical="center"/>
    </xf>
    <xf numFmtId="0" fontId="11" fillId="5" borderId="19" xfId="0" applyFont="1" applyFill="1" applyBorder="1" applyAlignment="1">
      <alignment horizontal="center" vertical="center"/>
    </xf>
    <xf numFmtId="0" fontId="18" fillId="3" borderId="0" xfId="0" applyFont="1" applyFill="1" applyAlignment="1">
      <alignment horizontal="left" vertical="top" wrapText="1"/>
    </xf>
    <xf numFmtId="0" fontId="12" fillId="3" borderId="0" xfId="0" applyFont="1" applyFill="1" applyAlignment="1">
      <alignment horizontal="left" vertical="top" wrapText="1"/>
    </xf>
    <xf numFmtId="0" fontId="12" fillId="3" borderId="7" xfId="0" applyFont="1" applyFill="1" applyBorder="1" applyAlignment="1">
      <alignment horizontal="left" vertical="top" wrapText="1"/>
    </xf>
    <xf numFmtId="0" fontId="2" fillId="5" borderId="13" xfId="0" applyFont="1" applyFill="1" applyBorder="1" applyAlignment="1">
      <alignment horizontal="center"/>
    </xf>
    <xf numFmtId="0" fontId="0" fillId="5" borderId="0" xfId="0" applyFill="1" applyAlignment="1">
      <alignment horizontal="right" wrapText="1"/>
    </xf>
    <xf numFmtId="0" fontId="0" fillId="5" borderId="12" xfId="0" applyFill="1" applyBorder="1" applyAlignment="1">
      <alignment horizontal="right" wrapText="1"/>
    </xf>
    <xf numFmtId="0" fontId="0" fillId="5" borderId="0" xfId="0" applyFill="1" applyAlignment="1">
      <alignment horizontal="right" vertical="center" wrapText="1"/>
    </xf>
    <xf numFmtId="0" fontId="0" fillId="5" borderId="12" xfId="0" applyFill="1" applyBorder="1" applyAlignment="1">
      <alignment horizontal="right" vertical="center" wrapText="1"/>
    </xf>
    <xf numFmtId="0" fontId="11" fillId="3" borderId="17" xfId="0" applyFont="1" applyFill="1" applyBorder="1" applyAlignment="1">
      <alignment horizontal="left" vertical="center"/>
    </xf>
    <xf numFmtId="0" fontId="11" fillId="3" borderId="19" xfId="0" applyFont="1" applyFill="1" applyBorder="1" applyAlignment="1">
      <alignment horizontal="left" vertical="center"/>
    </xf>
    <xf numFmtId="0" fontId="11" fillId="3" borderId="18" xfId="0" applyFont="1" applyFill="1" applyBorder="1" applyAlignment="1">
      <alignment horizontal="left" vertical="center"/>
    </xf>
    <xf numFmtId="0" fontId="18" fillId="3" borderId="0" xfId="0" applyFont="1" applyFill="1" applyAlignment="1">
      <alignment horizontal="left" vertical="center" wrapText="1"/>
    </xf>
    <xf numFmtId="0" fontId="11" fillId="3" borderId="17" xfId="0" applyFont="1" applyFill="1" applyBorder="1" applyAlignment="1">
      <alignment horizontal="center" vertical="center"/>
    </xf>
    <xf numFmtId="0" fontId="11" fillId="3" borderId="19" xfId="0" applyFont="1" applyFill="1" applyBorder="1" applyAlignment="1">
      <alignment horizontal="center" vertical="center"/>
    </xf>
    <xf numFmtId="0" fontId="18" fillId="5" borderId="0" xfId="0" applyFont="1" applyFill="1" applyAlignment="1">
      <alignment horizontal="center" vertical="center" wrapText="1"/>
    </xf>
    <xf numFmtId="0" fontId="12" fillId="5" borderId="0" xfId="0" applyFont="1" applyFill="1" applyAlignment="1">
      <alignment horizontal="left" vertical="top" wrapText="1"/>
    </xf>
    <xf numFmtId="0" fontId="0" fillId="3" borderId="0" xfId="0" applyFill="1" applyAlignment="1">
      <alignment horizontal="right" vertical="center" wrapText="1"/>
    </xf>
    <xf numFmtId="0" fontId="0" fillId="3" borderId="12" xfId="0" applyFill="1" applyBorder="1" applyAlignment="1">
      <alignment horizontal="right" vertical="center" wrapText="1"/>
    </xf>
    <xf numFmtId="0" fontId="13" fillId="3" borderId="0" xfId="0" applyFont="1" applyFill="1" applyAlignment="1">
      <alignment horizontal="left" vertical="top" wrapText="1"/>
    </xf>
    <xf numFmtId="0" fontId="0" fillId="0" borderId="2" xfId="0" applyBorder="1" applyAlignment="1">
      <alignment horizontal="center"/>
    </xf>
    <xf numFmtId="0" fontId="0" fillId="0" borderId="7" xfId="0" applyBorder="1" applyAlignment="1">
      <alignment horizont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0" fillId="5" borderId="0" xfId="0" applyFill="1" applyAlignment="1">
      <alignment horizontal="left" wrapText="1"/>
    </xf>
    <xf numFmtId="0" fontId="11" fillId="5" borderId="68" xfId="0" applyFont="1" applyFill="1" applyBorder="1" applyAlignment="1">
      <alignment horizontal="right" vertical="center" wrapText="1"/>
    </xf>
    <xf numFmtId="0" fontId="11" fillId="5" borderId="0" xfId="0" applyFont="1" applyFill="1" applyAlignment="1">
      <alignment horizontal="right" vertical="center" wrapText="1"/>
    </xf>
    <xf numFmtId="0" fontId="18" fillId="5" borderId="0" xfId="0" applyFont="1" applyFill="1" applyAlignment="1">
      <alignment horizontal="left" vertical="center" wrapText="1"/>
    </xf>
    <xf numFmtId="0" fontId="26" fillId="3" borderId="0" xfId="0" applyFont="1" applyFill="1" applyAlignment="1">
      <alignment horizontal="left" vertical="top"/>
    </xf>
    <xf numFmtId="0" fontId="11" fillId="5" borderId="0" xfId="0" applyFont="1" applyFill="1" applyAlignment="1">
      <alignment horizontal="left" vertical="center"/>
    </xf>
    <xf numFmtId="0" fontId="14" fillId="3" borderId="17" xfId="0" applyFont="1" applyFill="1" applyBorder="1" applyAlignment="1">
      <alignment horizontal="center" vertical="center"/>
    </xf>
    <xf numFmtId="0" fontId="14" fillId="3" borderId="18" xfId="0" applyFont="1" applyFill="1" applyBorder="1" applyAlignment="1">
      <alignment horizontal="center" vertical="center"/>
    </xf>
    <xf numFmtId="0" fontId="14" fillId="3" borderId="19" xfId="0" applyFont="1" applyFill="1" applyBorder="1" applyAlignment="1">
      <alignment horizontal="center" vertical="center"/>
    </xf>
    <xf numFmtId="0" fontId="30" fillId="3" borderId="20" xfId="0" applyFont="1" applyFill="1" applyBorder="1" applyAlignment="1">
      <alignment horizontal="left" vertical="center" wrapText="1"/>
    </xf>
    <xf numFmtId="0" fontId="30" fillId="3" borderId="2" xfId="0" applyFont="1" applyFill="1" applyBorder="1" applyAlignment="1">
      <alignment horizontal="left" vertical="center" wrapText="1"/>
    </xf>
    <xf numFmtId="0" fontId="30" fillId="3" borderId="21" xfId="0" applyFont="1" applyFill="1" applyBorder="1" applyAlignment="1">
      <alignment horizontal="left" vertical="center" wrapText="1"/>
    </xf>
    <xf numFmtId="0" fontId="30" fillId="3" borderId="22" xfId="0" applyFont="1" applyFill="1" applyBorder="1" applyAlignment="1">
      <alignment horizontal="left" vertical="center" wrapText="1"/>
    </xf>
    <xf numFmtId="0" fontId="30" fillId="3" borderId="0" xfId="0" applyFont="1" applyFill="1" applyAlignment="1">
      <alignment horizontal="left" vertical="center" wrapText="1"/>
    </xf>
    <xf numFmtId="0" fontId="30" fillId="3" borderId="23" xfId="0" applyFont="1" applyFill="1" applyBorder="1" applyAlignment="1">
      <alignment horizontal="left" vertical="center" wrapText="1"/>
    </xf>
    <xf numFmtId="0" fontId="30" fillId="3" borderId="24" xfId="0" applyFont="1" applyFill="1" applyBorder="1" applyAlignment="1">
      <alignment horizontal="left" vertical="center" wrapText="1"/>
    </xf>
    <xf numFmtId="0" fontId="30" fillId="3" borderId="25" xfId="0" applyFont="1" applyFill="1" applyBorder="1" applyAlignment="1">
      <alignment horizontal="left" vertical="center" wrapText="1"/>
    </xf>
    <xf numFmtId="0" fontId="30" fillId="3" borderId="26" xfId="0" applyFont="1" applyFill="1" applyBorder="1" applyAlignment="1">
      <alignment horizontal="left" vertical="center" wrapText="1"/>
    </xf>
    <xf numFmtId="0" fontId="13" fillId="5" borderId="0" xfId="0" applyFont="1" applyFill="1" applyAlignment="1">
      <alignment horizontal="left" vertical="center" wrapText="1"/>
    </xf>
    <xf numFmtId="164" fontId="15" fillId="5" borderId="9" xfId="0" applyNumberFormat="1" applyFont="1" applyFill="1" applyBorder="1" applyAlignment="1">
      <alignment horizontal="left" wrapText="1"/>
    </xf>
    <xf numFmtId="0" fontId="0" fillId="3" borderId="0" xfId="0" applyFill="1" applyAlignment="1">
      <alignment horizontal="center" vertical="center" wrapText="1"/>
    </xf>
    <xf numFmtId="0" fontId="0" fillId="5" borderId="0" xfId="0" applyFill="1" applyAlignment="1">
      <alignment horizontal="center" vertical="center" wrapText="1"/>
    </xf>
    <xf numFmtId="0" fontId="15" fillId="5" borderId="68" xfId="0" applyFont="1" applyFill="1" applyBorder="1" applyAlignment="1">
      <alignment horizontal="left" vertical="top" wrapText="1"/>
    </xf>
    <xf numFmtId="0" fontId="15" fillId="5" borderId="0" xfId="0" applyFont="1" applyFill="1" applyAlignment="1">
      <alignment horizontal="left" vertical="top" wrapText="1"/>
    </xf>
    <xf numFmtId="164" fontId="15" fillId="5" borderId="0" xfId="0" applyNumberFormat="1" applyFont="1" applyFill="1" applyAlignment="1">
      <alignment horizontal="left" wrapText="1"/>
    </xf>
    <xf numFmtId="0" fontId="0" fillId="5" borderId="0" xfId="0" applyFill="1" applyAlignment="1">
      <alignment horizontal="center" wrapText="1"/>
    </xf>
    <xf numFmtId="0" fontId="0" fillId="0" borderId="0" xfId="0" applyAlignment="1">
      <alignment horizontal="center"/>
    </xf>
    <xf numFmtId="0" fontId="4" fillId="0" borderId="0" xfId="0" applyFont="1" applyAlignment="1">
      <alignment horizontal="center" vertical="center" wrapText="1"/>
    </xf>
    <xf numFmtId="0" fontId="0" fillId="5" borderId="68" xfId="0" applyFill="1" applyBorder="1" applyAlignment="1">
      <alignment horizontal="left" vertical="center"/>
    </xf>
    <xf numFmtId="0" fontId="0" fillId="5" borderId="0" xfId="0" applyFill="1" applyAlignment="1">
      <alignment horizontal="left" vertical="center"/>
    </xf>
    <xf numFmtId="0" fontId="0" fillId="5" borderId="12" xfId="0" applyFill="1" applyBorder="1" applyAlignment="1">
      <alignment horizontal="left" vertical="center"/>
    </xf>
    <xf numFmtId="0" fontId="17" fillId="5" borderId="0" xfId="0" applyFont="1" applyFill="1" applyAlignment="1">
      <alignment horizontal="left" vertical="center" wrapText="1"/>
    </xf>
    <xf numFmtId="0" fontId="12" fillId="3" borderId="0" xfId="0" applyFont="1" applyFill="1" applyAlignment="1">
      <alignment horizontal="left" vertical="center" wrapText="1"/>
    </xf>
    <xf numFmtId="0" fontId="20" fillId="3" borderId="20" xfId="0" applyFont="1" applyFill="1" applyBorder="1" applyAlignment="1">
      <alignment horizontal="left" vertical="top" wrapText="1"/>
    </xf>
    <xf numFmtId="0" fontId="20" fillId="3" borderId="2" xfId="0" applyFont="1" applyFill="1" applyBorder="1" applyAlignment="1">
      <alignment horizontal="left" vertical="top" wrapText="1"/>
    </xf>
    <xf numFmtId="0" fontId="20" fillId="3" borderId="21" xfId="0" applyFont="1" applyFill="1" applyBorder="1" applyAlignment="1">
      <alignment horizontal="left" vertical="top" wrapText="1"/>
    </xf>
    <xf numFmtId="0" fontId="20" fillId="3" borderId="22" xfId="0" applyFont="1" applyFill="1" applyBorder="1" applyAlignment="1">
      <alignment horizontal="left" vertical="top" wrapText="1"/>
    </xf>
    <xf numFmtId="0" fontId="20" fillId="3" borderId="0" xfId="0" applyFont="1" applyFill="1" applyAlignment="1">
      <alignment horizontal="left" vertical="top" wrapText="1"/>
    </xf>
    <xf numFmtId="0" fontId="20" fillId="3" borderId="23" xfId="0" applyFont="1" applyFill="1" applyBorder="1" applyAlignment="1">
      <alignment horizontal="left" vertical="top" wrapText="1"/>
    </xf>
    <xf numFmtId="0" fontId="20" fillId="3" borderId="24" xfId="0" applyFont="1" applyFill="1" applyBorder="1" applyAlignment="1">
      <alignment horizontal="left" vertical="top" wrapText="1"/>
    </xf>
    <xf numFmtId="0" fontId="20" fillId="3" borderId="25" xfId="0" applyFont="1" applyFill="1" applyBorder="1" applyAlignment="1">
      <alignment horizontal="left" vertical="top" wrapText="1"/>
    </xf>
    <xf numFmtId="0" fontId="20" fillId="3" borderId="26" xfId="0" applyFont="1" applyFill="1" applyBorder="1" applyAlignment="1">
      <alignment horizontal="left" vertical="top" wrapText="1"/>
    </xf>
    <xf numFmtId="0" fontId="0" fillId="8" borderId="82" xfId="0" applyFill="1" applyBorder="1" applyAlignment="1">
      <alignment horizontal="center"/>
    </xf>
    <xf numFmtId="0" fontId="0" fillId="8" borderId="83" xfId="0" applyFill="1" applyBorder="1" applyAlignment="1">
      <alignment horizontal="center"/>
    </xf>
    <xf numFmtId="0" fontId="0" fillId="8" borderId="84" xfId="0" applyFill="1" applyBorder="1" applyAlignment="1">
      <alignment horizontal="center"/>
    </xf>
    <xf numFmtId="0" fontId="0" fillId="8" borderId="97" xfId="0" applyFill="1" applyBorder="1" applyAlignment="1">
      <alignment horizontal="center"/>
    </xf>
    <xf numFmtId="0" fontId="0" fillId="8" borderId="98" xfId="0" applyFill="1" applyBorder="1" applyAlignment="1">
      <alignment horizontal="center"/>
    </xf>
    <xf numFmtId="0" fontId="0" fillId="8" borderId="99" xfId="0" applyFill="1" applyBorder="1" applyAlignment="1">
      <alignment horizontal="center"/>
    </xf>
    <xf numFmtId="0" fontId="0" fillId="8" borderId="51" xfId="0" applyFill="1" applyBorder="1" applyAlignment="1">
      <alignment horizontal="center"/>
    </xf>
    <xf numFmtId="0" fontId="0" fillId="8" borderId="69" xfId="0" applyFill="1" applyBorder="1" applyAlignment="1">
      <alignment horizontal="center"/>
    </xf>
    <xf numFmtId="0" fontId="0" fillId="8" borderId="52" xfId="0" applyFill="1" applyBorder="1" applyAlignment="1">
      <alignment horizontal="center"/>
    </xf>
  </cellXfs>
  <cellStyles count="4">
    <cellStyle name="Monétaire" xfId="1" builtinId="4"/>
    <cellStyle name="Monétaire 2" xfId="2" xr:uid="{E2242CA9-6B81-477A-B25F-66586CC8EAFE}"/>
    <cellStyle name="Normal" xfId="0" builtinId="0"/>
    <cellStyle name="Normal 2" xfId="3" xr:uid="{6E744054-C2F5-44BC-BFE6-54564DD5D496}"/>
  </cellStyles>
  <dxfs count="6">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9" defaultPivotStyle="PivotStyleLight16"/>
  <colors>
    <mruColors>
      <color rgb="FFECECEC"/>
      <color rgb="FFEAEAEA"/>
      <color rgb="FFFFCCFF"/>
      <color rgb="FFFFFFCC"/>
      <color rgb="FFFFFF99"/>
      <color rgb="FFC80000"/>
      <color rgb="FFD8F8C0"/>
      <color rgb="FF89CCCC"/>
      <color rgb="FFECECCB"/>
      <color rgb="FF9A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3</xdr:col>
      <xdr:colOff>771525</xdr:colOff>
      <xdr:row>0</xdr:row>
      <xdr:rowOff>19050</xdr:rowOff>
    </xdr:from>
    <xdr:to>
      <xdr:col>20</xdr:col>
      <xdr:colOff>447675</xdr:colOff>
      <xdr:row>1</xdr:row>
      <xdr:rowOff>485775</xdr:rowOff>
    </xdr:to>
    <xdr:sp macro="" textlink="">
      <xdr:nvSpPr>
        <xdr:cNvPr id="7" name="Rectangle 6">
          <a:extLst>
            <a:ext uri="{FF2B5EF4-FFF2-40B4-BE49-F238E27FC236}">
              <a16:creationId xmlns:a16="http://schemas.microsoft.com/office/drawing/2014/main" id="{00000000-0008-0000-0000-000007000000}"/>
            </a:ext>
          </a:extLst>
        </xdr:cNvPr>
        <xdr:cNvSpPr/>
      </xdr:nvSpPr>
      <xdr:spPr>
        <a:xfrm>
          <a:off x="3124200" y="19050"/>
          <a:ext cx="6781800" cy="990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fr-CA" sz="1100"/>
        </a:p>
      </xdr:txBody>
    </xdr:sp>
    <xdr:clientData/>
  </xdr:twoCellAnchor>
  <xdr:twoCellAnchor>
    <xdr:from>
      <xdr:col>0</xdr:col>
      <xdr:colOff>9525</xdr:colOff>
      <xdr:row>0</xdr:row>
      <xdr:rowOff>9526</xdr:rowOff>
    </xdr:from>
    <xdr:to>
      <xdr:col>29</xdr:col>
      <xdr:colOff>124996</xdr:colOff>
      <xdr:row>2</xdr:row>
      <xdr:rowOff>0</xdr:rowOff>
    </xdr:to>
    <xdr:pic>
      <xdr:nvPicPr>
        <xdr:cNvPr id="9" name="Image 8" descr="BANDEAU pour EXCEL_V2.jpg">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srcRect r="452"/>
        <a:stretch>
          <a:fillRect/>
        </a:stretch>
      </xdr:blipFill>
      <xdr:spPr>
        <a:xfrm>
          <a:off x="9525" y="9526"/>
          <a:ext cx="12907546" cy="1866899"/>
        </a:xfrm>
        <a:prstGeom prst="rect">
          <a:avLst/>
        </a:prstGeom>
      </xdr:spPr>
    </xdr:pic>
    <xdr:clientData/>
  </xdr:twoCellAnchor>
  <xdr:twoCellAnchor>
    <xdr:from>
      <xdr:col>24</xdr:col>
      <xdr:colOff>381001</xdr:colOff>
      <xdr:row>0</xdr:row>
      <xdr:rowOff>563217</xdr:rowOff>
    </xdr:from>
    <xdr:to>
      <xdr:col>25</xdr:col>
      <xdr:colOff>762001</xdr:colOff>
      <xdr:row>0</xdr:row>
      <xdr:rowOff>1134717</xdr:rowOff>
    </xdr:to>
    <xdr:sp macro="" textlink="">
      <xdr:nvSpPr>
        <xdr:cNvPr id="4" name="ZoneTexte 3">
          <a:extLst>
            <a:ext uri="{FF2B5EF4-FFF2-40B4-BE49-F238E27FC236}">
              <a16:creationId xmlns:a16="http://schemas.microsoft.com/office/drawing/2014/main" id="{00000000-0008-0000-0000-000004000000}"/>
            </a:ext>
          </a:extLst>
        </xdr:cNvPr>
        <xdr:cNvSpPr txBox="1"/>
      </xdr:nvSpPr>
      <xdr:spPr>
        <a:xfrm>
          <a:off x="8862392" y="563217"/>
          <a:ext cx="1333500" cy="5715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A" sz="4000" b="1">
              <a:latin typeface="+mn-lt"/>
            </a:rPr>
            <a:t>2026</a:t>
          </a:r>
        </a:p>
      </xdr:txBody>
    </xdr:sp>
    <xdr:clientData/>
  </xdr:twoCellAnchor>
  <xdr:twoCellAnchor>
    <xdr:from>
      <xdr:col>1</xdr:col>
      <xdr:colOff>285749</xdr:colOff>
      <xdr:row>67</xdr:row>
      <xdr:rowOff>57150</xdr:rowOff>
    </xdr:from>
    <xdr:to>
      <xdr:col>11</xdr:col>
      <xdr:colOff>1019174</xdr:colOff>
      <xdr:row>69</xdr:row>
      <xdr:rowOff>161925</xdr:rowOff>
    </xdr:to>
    <xdr:sp macro="" textlink="">
      <xdr:nvSpPr>
        <xdr:cNvPr id="2" name="ZoneTexte 1">
          <a:extLst>
            <a:ext uri="{FF2B5EF4-FFF2-40B4-BE49-F238E27FC236}">
              <a16:creationId xmlns:a16="http://schemas.microsoft.com/office/drawing/2014/main" id="{3A57E98D-41C9-B119-BEE3-7F1290D87735}"/>
            </a:ext>
          </a:extLst>
        </xdr:cNvPr>
        <xdr:cNvSpPr txBox="1"/>
      </xdr:nvSpPr>
      <xdr:spPr>
        <a:xfrm>
          <a:off x="419099" y="17383125"/>
          <a:ext cx="2924175"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100"/>
            <a:t>Si la catégorie n'est pas bonne, veuillez modifier votre âge en haut du calculateur (cellule I4)</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19050</xdr:rowOff>
    </xdr:from>
    <xdr:to>
      <xdr:col>29</xdr:col>
      <xdr:colOff>201145</xdr:colOff>
      <xdr:row>1</xdr:row>
      <xdr:rowOff>495300</xdr:rowOff>
    </xdr:to>
    <xdr:pic>
      <xdr:nvPicPr>
        <xdr:cNvPr id="3" name="Image 2" descr="BANDEAU_en_ pour EXCEL_V1.jp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9525" y="19050"/>
          <a:ext cx="14097000" cy="2019300"/>
        </a:xfrm>
        <a:prstGeom prst="rect">
          <a:avLst/>
        </a:prstGeom>
      </xdr:spPr>
    </xdr:pic>
    <xdr:clientData/>
  </xdr:twoCellAnchor>
  <xdr:twoCellAnchor>
    <xdr:from>
      <xdr:col>23</xdr:col>
      <xdr:colOff>400051</xdr:colOff>
      <xdr:row>0</xdr:row>
      <xdr:rowOff>628650</xdr:rowOff>
    </xdr:from>
    <xdr:to>
      <xdr:col>24</xdr:col>
      <xdr:colOff>866776</xdr:colOff>
      <xdr:row>0</xdr:row>
      <xdr:rowOff>1200150</xdr:rowOff>
    </xdr:to>
    <xdr:sp macro="" textlink="">
      <xdr:nvSpPr>
        <xdr:cNvPr id="2" name="ZoneTexte 1">
          <a:extLst>
            <a:ext uri="{FF2B5EF4-FFF2-40B4-BE49-F238E27FC236}">
              <a16:creationId xmlns:a16="http://schemas.microsoft.com/office/drawing/2014/main" id="{00000000-0008-0000-0300-000002000000}"/>
            </a:ext>
          </a:extLst>
        </xdr:cNvPr>
        <xdr:cNvSpPr txBox="1"/>
      </xdr:nvSpPr>
      <xdr:spPr>
        <a:xfrm>
          <a:off x="9525001" y="628650"/>
          <a:ext cx="1333500" cy="5715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A" sz="4000" b="1">
              <a:latin typeface="+mn-lt"/>
            </a:rPr>
            <a:t>2026</a:t>
          </a:r>
        </a:p>
      </xdr:txBody>
    </xdr:sp>
    <xdr:clientData/>
  </xdr:twoCellAnchor>
  <xdr:twoCellAnchor>
    <xdr:from>
      <xdr:col>1</xdr:col>
      <xdr:colOff>257735</xdr:colOff>
      <xdr:row>66</xdr:row>
      <xdr:rowOff>56029</xdr:rowOff>
    </xdr:from>
    <xdr:to>
      <xdr:col>11</xdr:col>
      <xdr:colOff>873498</xdr:colOff>
      <xdr:row>68</xdr:row>
      <xdr:rowOff>253253</xdr:rowOff>
    </xdr:to>
    <xdr:sp macro="" textlink="">
      <xdr:nvSpPr>
        <xdr:cNvPr id="4" name="ZoneTexte 3">
          <a:extLst>
            <a:ext uri="{FF2B5EF4-FFF2-40B4-BE49-F238E27FC236}">
              <a16:creationId xmlns:a16="http://schemas.microsoft.com/office/drawing/2014/main" id="{1F464D5A-033F-494B-B757-8C99FB2094AC}"/>
            </a:ext>
          </a:extLst>
        </xdr:cNvPr>
        <xdr:cNvSpPr txBox="1"/>
      </xdr:nvSpPr>
      <xdr:spPr>
        <a:xfrm>
          <a:off x="425823" y="14758147"/>
          <a:ext cx="2924175"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a:t>If the age group is wrong, please adjust your age at the top of the calculator (cell I4)</a:t>
          </a:r>
          <a:endParaRPr lang="fr-CA" sz="1100"/>
        </a:p>
      </xdr:txBody>
    </xdr:sp>
    <xdr:clientData/>
  </xdr:twoCellAnchor>
</xdr:wsDr>
</file>

<file path=xl/persons/person.xml><?xml version="1.0" encoding="utf-8"?>
<personList xmlns="http://schemas.microsoft.com/office/spreadsheetml/2018/threadedcomments" xmlns:x="http://schemas.openxmlformats.org/spreadsheetml/2006/main">
  <person displayName="Daniel Légaré" id="{5C4E2BE7-20E0-4D56-A951-E4D129C77D61}" userId="S::Daniel.Legare@csn.qc.ca::90675d1d-d6b3-47d6-aba7-a2d1cecacb02"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L11" dT="2022-09-14T20:05:38.36" personId="{5C4E2BE7-20E0-4D56-A951-E4D129C77D61}" id="{B028F132-4C2E-4520-B3E4-8206E88E59B2}">
    <text>POur retrouver la formule prendre la version 2021 du calculatueur</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FF0000"/>
    <pageSetUpPr fitToPage="1"/>
  </sheetPr>
  <dimension ref="A1:GW133"/>
  <sheetViews>
    <sheetView showGridLines="0" tabSelected="1" zoomScaleNormal="100" workbookViewId="0">
      <selection activeCell="L4" sqref="L4:P4"/>
    </sheetView>
  </sheetViews>
  <sheetFormatPr baseColWidth="10" defaultColWidth="11.42578125" defaultRowHeight="15" x14ac:dyDescent="0.25"/>
  <cols>
    <col min="1" max="1" width="2" customWidth="1"/>
    <col min="2" max="2" width="4.28515625" customWidth="1"/>
    <col min="3" max="3" width="0.7109375" customWidth="1"/>
    <col min="4" max="4" width="5.28515625" customWidth="1"/>
    <col min="5" max="5" width="0.7109375" customWidth="1"/>
    <col min="6" max="6" width="7.140625" customWidth="1"/>
    <col min="7" max="7" width="2.7109375" customWidth="1"/>
    <col min="8" max="8" width="2.85546875" customWidth="1"/>
    <col min="9" max="9" width="4.85546875" customWidth="1"/>
    <col min="10" max="10" width="1.42578125" customWidth="1"/>
    <col min="11" max="11" width="2.85546875" customWidth="1"/>
    <col min="12" max="12" width="21.28515625" customWidth="1"/>
    <col min="13" max="13" width="6.7109375" customWidth="1"/>
    <col min="14" max="14" width="5.140625" customWidth="1"/>
    <col min="15" max="15" width="4.7109375" customWidth="1"/>
    <col min="16" max="16" width="5.7109375" customWidth="1"/>
    <col min="17" max="17" width="4.5703125" customWidth="1"/>
    <col min="18" max="18" width="0.7109375" customWidth="1"/>
    <col min="19" max="20" width="3.42578125" customWidth="1"/>
    <col min="21" max="21" width="4.5703125" customWidth="1"/>
    <col min="22" max="22" width="13.140625" customWidth="1"/>
    <col min="23" max="23" width="13.5703125" customWidth="1"/>
    <col min="24" max="24" width="9" customWidth="1"/>
    <col min="25" max="26" width="14.28515625" customWidth="1"/>
    <col min="27" max="27" width="10" customWidth="1"/>
    <col min="28" max="28" width="9.140625" customWidth="1"/>
    <col min="29" max="29" width="14.28515625" customWidth="1"/>
    <col min="30" max="30" width="2" customWidth="1"/>
  </cols>
  <sheetData>
    <row r="1" spans="1:32" ht="108" customHeight="1" x14ac:dyDescent="0.25">
      <c r="A1" s="3"/>
      <c r="B1" s="461"/>
      <c r="C1" s="10"/>
      <c r="D1" s="463"/>
      <c r="E1" s="463"/>
      <c r="F1" s="463"/>
      <c r="G1" s="463"/>
      <c r="H1" s="463"/>
      <c r="I1" s="463"/>
      <c r="J1" s="463"/>
      <c r="K1" s="463"/>
      <c r="L1" s="463"/>
      <c r="M1" s="463"/>
      <c r="N1" s="463"/>
      <c r="O1" s="463"/>
      <c r="P1" s="463"/>
      <c r="Q1" s="463"/>
      <c r="R1" s="463"/>
      <c r="S1" s="463"/>
      <c r="T1" s="463"/>
      <c r="U1" s="463"/>
      <c r="V1" s="461"/>
      <c r="W1" s="461"/>
      <c r="X1" s="461"/>
      <c r="Y1" s="461"/>
      <c r="AE1" s="306"/>
    </row>
    <row r="2" spans="1:32" ht="39.75" customHeight="1" x14ac:dyDescent="0.25">
      <c r="A2" s="11"/>
      <c r="B2" s="462"/>
      <c r="C2" s="12"/>
      <c r="D2" s="464"/>
      <c r="E2" s="464"/>
      <c r="F2" s="464"/>
      <c r="G2" s="464"/>
      <c r="H2" s="464"/>
      <c r="I2" s="464"/>
      <c r="J2" s="464"/>
      <c r="K2" s="464"/>
      <c r="L2" s="464"/>
      <c r="M2" s="464"/>
      <c r="N2" s="464"/>
      <c r="O2" s="464"/>
      <c r="P2" s="464"/>
      <c r="Q2" s="464"/>
      <c r="R2" s="464"/>
      <c r="S2" s="464"/>
      <c r="T2" s="464"/>
      <c r="U2" s="464"/>
      <c r="V2" s="462"/>
      <c r="W2" s="462"/>
      <c r="X2" s="462"/>
      <c r="Y2" s="462"/>
      <c r="Z2" s="117"/>
      <c r="AA2" s="117"/>
      <c r="AB2" s="117"/>
      <c r="AC2" s="117"/>
      <c r="AD2" s="117"/>
    </row>
    <row r="3" spans="1:32" ht="29.65" customHeight="1" thickBot="1" x14ac:dyDescent="0.4">
      <c r="A3" s="13"/>
      <c r="B3" s="193" t="s">
        <v>0</v>
      </c>
      <c r="C3" s="193"/>
      <c r="D3" s="193"/>
      <c r="E3" s="193"/>
      <c r="F3" s="14"/>
      <c r="G3" s="14"/>
      <c r="H3" s="14"/>
      <c r="I3" s="14"/>
      <c r="J3" s="14"/>
      <c r="K3" s="14"/>
      <c r="L3" s="14"/>
      <c r="M3" s="14"/>
      <c r="N3" s="14"/>
      <c r="O3" s="14"/>
      <c r="P3" s="14"/>
      <c r="Q3" s="402" t="str">
        <f>IF(I4&gt;=65,IF(COUNTBLANK(Q4:U4)&lt;3,"Il ne peut y avoir qu'un seul choix de réponse",IF(COUNTBLANK(Q4:U4)=4,"Inscrivez un X dans la case appropriée","")),"")</f>
        <v/>
      </c>
      <c r="R3" s="14"/>
      <c r="S3" s="293"/>
      <c r="T3" s="293"/>
      <c r="U3" s="293"/>
      <c r="V3" s="14"/>
      <c r="W3" s="14"/>
      <c r="X3" s="14"/>
      <c r="Y3" s="14"/>
      <c r="Z3" s="14"/>
      <c r="AA3" s="14"/>
      <c r="AB3" s="14"/>
      <c r="AC3" s="14"/>
      <c r="AD3" s="15"/>
    </row>
    <row r="4" spans="1:32" ht="28.15" customHeight="1" thickBot="1" x14ac:dyDescent="0.4">
      <c r="A4" s="16"/>
      <c r="B4" s="17"/>
      <c r="C4" s="20"/>
      <c r="D4" s="21"/>
      <c r="E4" s="17"/>
      <c r="F4" s="17"/>
      <c r="G4" s="17"/>
      <c r="H4" s="289" t="s">
        <v>282</v>
      </c>
      <c r="I4" s="304"/>
      <c r="J4" s="288" t="s">
        <v>283</v>
      </c>
      <c r="K4" s="290"/>
      <c r="L4" s="466" t="str">
        <f>IF(I4&gt;=65,"Êtes-vous inscrit à la RAMQ : ","")</f>
        <v/>
      </c>
      <c r="M4" s="467"/>
      <c r="N4" s="467"/>
      <c r="O4" s="467"/>
      <c r="P4" s="467"/>
      <c r="Q4" s="292"/>
      <c r="R4" s="286" t="str">
        <f>IF(I4&gt;=65,"Oui","")</f>
        <v/>
      </c>
      <c r="S4" s="294"/>
      <c r="T4" s="17"/>
      <c r="U4" s="292"/>
      <c r="V4" s="286" t="str">
        <f>IF(I4&gt;=65,"Non","")</f>
        <v/>
      </c>
      <c r="W4" s="17"/>
      <c r="X4" s="17"/>
      <c r="Y4" s="17"/>
      <c r="Z4" s="17"/>
      <c r="AA4" s="17"/>
      <c r="AB4" s="17"/>
      <c r="AC4" s="17"/>
      <c r="AD4" s="19"/>
    </row>
    <row r="5" spans="1:32" ht="4.9000000000000004" customHeight="1" x14ac:dyDescent="0.35">
      <c r="A5" s="17"/>
      <c r="B5" s="17"/>
      <c r="C5" s="20"/>
      <c r="D5" s="21"/>
      <c r="E5" s="17"/>
      <c r="F5" s="17"/>
      <c r="G5" s="17"/>
      <c r="H5" s="289"/>
      <c r="I5" s="200"/>
      <c r="J5" s="85"/>
      <c r="K5" s="17"/>
      <c r="L5" s="293"/>
      <c r="M5" s="293"/>
      <c r="N5" s="293"/>
      <c r="O5" s="293"/>
      <c r="P5" s="293"/>
      <c r="Q5" s="200"/>
      <c r="R5" s="286"/>
      <c r="S5" s="291"/>
      <c r="T5" s="291"/>
      <c r="U5" s="287"/>
      <c r="V5" s="287"/>
      <c r="W5" s="124"/>
      <c r="X5" s="17"/>
      <c r="Y5" s="286"/>
      <c r="Z5" s="85"/>
      <c r="AA5" s="17"/>
      <c r="AB5" s="17"/>
      <c r="AC5" s="17"/>
      <c r="AD5" s="19"/>
    </row>
    <row r="6" spans="1:32" ht="15" customHeight="1" x14ac:dyDescent="0.35">
      <c r="A6" s="17"/>
      <c r="B6" s="17"/>
      <c r="C6" s="17"/>
      <c r="D6" s="17"/>
      <c r="E6" s="17"/>
      <c r="F6" s="17"/>
      <c r="G6" s="17"/>
      <c r="H6" s="17"/>
      <c r="I6" s="17"/>
      <c r="J6" s="17"/>
      <c r="K6" s="17"/>
      <c r="L6" s="293"/>
      <c r="M6" s="293"/>
      <c r="N6" s="293"/>
      <c r="O6" s="293"/>
      <c r="P6" s="293"/>
      <c r="Q6" s="296" t="str">
        <f>IF(I4&gt;=65,"",IF(AND(I4&lt;65,U4="",Q4=""),"","Effacer le contenu des cellules ci-dessus"))</f>
        <v/>
      </c>
      <c r="R6" s="17"/>
      <c r="S6" s="17"/>
      <c r="T6" s="17"/>
      <c r="U6" s="17"/>
      <c r="V6" s="17"/>
      <c r="W6" s="17"/>
      <c r="X6" s="17"/>
      <c r="Y6" s="20"/>
      <c r="Z6" s="17"/>
      <c r="AA6" s="17"/>
      <c r="AB6" s="17"/>
      <c r="AC6" s="17"/>
      <c r="AD6" s="19"/>
    </row>
    <row r="7" spans="1:32" ht="30" hidden="1" customHeight="1" x14ac:dyDescent="0.35">
      <c r="A7" s="17"/>
      <c r="B7" s="17"/>
      <c r="C7" s="17"/>
      <c r="D7" s="17"/>
      <c r="E7" s="17"/>
      <c r="F7" s="17"/>
      <c r="G7" s="17"/>
      <c r="H7" s="17"/>
      <c r="I7" s="17"/>
      <c r="J7" s="17"/>
      <c r="K7" s="17"/>
      <c r="L7" s="293"/>
      <c r="M7" s="295"/>
      <c r="N7" s="295"/>
      <c r="O7" s="295"/>
      <c r="P7" s="295"/>
      <c r="Q7" s="17"/>
      <c r="R7" s="17"/>
      <c r="S7" s="17"/>
      <c r="T7" s="17"/>
      <c r="U7" s="17"/>
      <c r="V7" s="17"/>
      <c r="W7" s="17"/>
      <c r="X7" s="17"/>
      <c r="Y7" s="20"/>
      <c r="Z7" s="17"/>
      <c r="AA7" s="17"/>
      <c r="AB7" s="17"/>
      <c r="AC7" s="17"/>
      <c r="AD7" s="19"/>
    </row>
    <row r="8" spans="1:32" ht="30" customHeight="1" thickBot="1" x14ac:dyDescent="0.3">
      <c r="A8" s="16"/>
      <c r="B8" s="465" t="s">
        <v>108</v>
      </c>
      <c r="C8" s="465"/>
      <c r="D8" s="465"/>
      <c r="E8" s="465"/>
      <c r="F8" s="465"/>
      <c r="G8" s="465"/>
      <c r="H8" s="465"/>
      <c r="I8" s="465"/>
      <c r="J8" s="465"/>
      <c r="K8" s="465"/>
      <c r="L8" s="465"/>
      <c r="M8" s="465"/>
      <c r="N8" s="17"/>
      <c r="O8" s="17"/>
      <c r="P8" s="17"/>
      <c r="Q8" s="364" t="s">
        <v>74</v>
      </c>
      <c r="R8" s="17"/>
      <c r="S8" s="17"/>
      <c r="T8" s="17"/>
      <c r="U8" s="17"/>
      <c r="V8" s="17"/>
      <c r="W8" s="17"/>
      <c r="X8" s="17"/>
      <c r="Y8" s="17"/>
      <c r="Z8" s="17"/>
      <c r="AA8" s="17"/>
      <c r="AB8" s="18"/>
      <c r="AC8" s="18"/>
      <c r="AD8" s="19"/>
    </row>
    <row r="9" spans="1:32" ht="30" customHeight="1" thickBot="1" x14ac:dyDescent="0.4">
      <c r="A9" s="16"/>
      <c r="B9" s="119"/>
      <c r="C9" s="20"/>
      <c r="D9" s="436" t="str">
        <f>Taux!B3</f>
        <v>Protection de base (module A)</v>
      </c>
      <c r="E9" s="437"/>
      <c r="F9" s="437"/>
      <c r="G9" s="437"/>
      <c r="H9" s="437"/>
      <c r="I9" s="437"/>
      <c r="J9" s="437"/>
      <c r="K9" s="437"/>
      <c r="L9" s="438"/>
      <c r="M9" s="468" t="str">
        <f>IF(COUNTBLANK(B9:B15)&lt;6,"Il ne peut y avoir qu'un seul choix de réponse",IF(COUNTBLANK(B9:B15)=7,"Vous devez faire un choix de protection",""))</f>
        <v>Vous devez faire un choix de protection</v>
      </c>
      <c r="N9" s="468"/>
      <c r="O9" s="468"/>
      <c r="P9" s="17"/>
      <c r="Q9" s="119"/>
      <c r="R9" s="17"/>
      <c r="S9" s="436" t="str">
        <f>Taux!C3</f>
        <v>Individuel</v>
      </c>
      <c r="T9" s="437"/>
      <c r="U9" s="437"/>
      <c r="V9" s="438"/>
      <c r="W9" s="468" t="str">
        <f>IF(AND(B15="X",OR(COUNTIF(Q9:Q15,"X")=0,COUNTIF(Q9:Q15,"X")=1)),"",IF(COUNTIF(Q9:Q15,"X")&gt;1,"Il ne peut y avoir qu'un seul choix de réponse",IF(COUNTBLANK(Q9:Q15)=7,"Vous devez faire un choix de protection","")))</f>
        <v>Vous devez faire un choix de protection</v>
      </c>
      <c r="X9" s="468"/>
      <c r="Y9" s="286"/>
      <c r="Z9" s="17"/>
      <c r="AA9" s="22"/>
      <c r="AB9" s="18"/>
      <c r="AC9" s="18"/>
      <c r="AD9" s="19"/>
    </row>
    <row r="10" spans="1:32" ht="3.75" customHeight="1" thickBot="1" x14ac:dyDescent="0.4">
      <c r="A10" s="16"/>
      <c r="B10" s="20"/>
      <c r="C10" s="20"/>
      <c r="D10" s="21"/>
      <c r="E10" s="21"/>
      <c r="F10" s="21"/>
      <c r="G10" s="21"/>
      <c r="H10" s="21"/>
      <c r="I10" s="21"/>
      <c r="J10" s="21"/>
      <c r="K10" s="21"/>
      <c r="L10" s="21"/>
      <c r="M10" s="468"/>
      <c r="N10" s="468"/>
      <c r="O10" s="468"/>
      <c r="P10" s="17"/>
      <c r="Q10" s="21"/>
      <c r="R10" s="17"/>
      <c r="S10" s="21"/>
      <c r="T10" s="21"/>
      <c r="U10" s="21"/>
      <c r="V10" s="21"/>
      <c r="W10" s="468"/>
      <c r="X10" s="468"/>
      <c r="Y10" s="17"/>
      <c r="Z10" s="17"/>
      <c r="AA10" s="22"/>
      <c r="AB10" s="18"/>
      <c r="AC10" s="18"/>
      <c r="AD10" s="19"/>
    </row>
    <row r="11" spans="1:32" ht="30" customHeight="1" thickBot="1" x14ac:dyDescent="0.4">
      <c r="A11" s="16"/>
      <c r="B11" s="119"/>
      <c r="C11" s="20"/>
      <c r="D11" s="436" t="str">
        <f>Taux!B4</f>
        <v>Protection régulière (module B)</v>
      </c>
      <c r="E11" s="437"/>
      <c r="F11" s="437"/>
      <c r="G11" s="437"/>
      <c r="H11" s="437"/>
      <c r="I11" s="437"/>
      <c r="J11" s="437"/>
      <c r="K11" s="437"/>
      <c r="L11" s="438"/>
      <c r="M11" s="468"/>
      <c r="N11" s="468"/>
      <c r="O11" s="468"/>
      <c r="P11" s="17"/>
      <c r="Q11" s="119"/>
      <c r="R11" s="17"/>
      <c r="S11" s="436" t="str">
        <f>Taux!C4</f>
        <v>Monoparental</v>
      </c>
      <c r="T11" s="437"/>
      <c r="U11" s="437"/>
      <c r="V11" s="438"/>
      <c r="W11" s="468"/>
      <c r="X11" s="468"/>
      <c r="Y11" s="17"/>
      <c r="Z11" s="22"/>
      <c r="AA11" s="18"/>
      <c r="AB11" s="23" t="s">
        <v>270</v>
      </c>
      <c r="AC11" s="216">
        <f>IF(AND(W9="",M9="",Q3=""),Taux!F22,0)</f>
        <v>0</v>
      </c>
      <c r="AD11" s="19"/>
    </row>
    <row r="12" spans="1:32" ht="3.75" customHeight="1" thickBot="1" x14ac:dyDescent="0.4">
      <c r="A12" s="16"/>
      <c r="B12" s="20"/>
      <c r="C12" s="20"/>
      <c r="D12" s="21"/>
      <c r="E12" s="21"/>
      <c r="F12" s="21"/>
      <c r="G12" s="21"/>
      <c r="H12" s="21"/>
      <c r="I12" s="21"/>
      <c r="J12" s="21"/>
      <c r="K12" s="21"/>
      <c r="L12" s="21"/>
      <c r="M12" s="468"/>
      <c r="N12" s="468"/>
      <c r="O12" s="468"/>
      <c r="P12" s="17"/>
      <c r="Q12" s="21"/>
      <c r="R12" s="17"/>
      <c r="S12" s="21"/>
      <c r="T12" s="21"/>
      <c r="U12" s="21"/>
      <c r="V12" s="21"/>
      <c r="W12" s="468"/>
      <c r="X12" s="468"/>
      <c r="Y12" s="17"/>
      <c r="Z12" s="22"/>
      <c r="AA12" s="17"/>
      <c r="AB12" s="17"/>
      <c r="AC12" s="17"/>
      <c r="AD12" s="19"/>
    </row>
    <row r="13" spans="1:32" ht="30" customHeight="1" thickBot="1" x14ac:dyDescent="0.4">
      <c r="A13" s="16"/>
      <c r="B13" s="119"/>
      <c r="C13" s="20"/>
      <c r="D13" s="436" t="str">
        <f>Taux!B5</f>
        <v>Protection enrichie (module C)</v>
      </c>
      <c r="E13" s="437"/>
      <c r="F13" s="437"/>
      <c r="G13" s="437"/>
      <c r="H13" s="437"/>
      <c r="I13" s="437"/>
      <c r="J13" s="437"/>
      <c r="K13" s="437"/>
      <c r="L13" s="438"/>
      <c r="M13" s="468"/>
      <c r="N13" s="468"/>
      <c r="O13" s="468"/>
      <c r="P13" s="17"/>
      <c r="Q13" s="119"/>
      <c r="R13" s="17"/>
      <c r="S13" s="436" t="str">
        <f>Taux!C5</f>
        <v>Familial</v>
      </c>
      <c r="T13" s="437"/>
      <c r="U13" s="437"/>
      <c r="V13" s="438"/>
      <c r="W13" s="468"/>
      <c r="X13" s="468"/>
      <c r="Y13" s="17"/>
      <c r="Z13" s="22"/>
      <c r="AA13" s="22"/>
      <c r="AB13" s="23" t="s">
        <v>268</v>
      </c>
      <c r="AC13" s="216">
        <f>26*AC11</f>
        <v>0</v>
      </c>
      <c r="AD13" s="19"/>
    </row>
    <row r="14" spans="1:32" ht="3.75" customHeight="1" thickBot="1" x14ac:dyDescent="0.4">
      <c r="A14" s="16"/>
      <c r="B14" s="20"/>
      <c r="C14" s="20"/>
      <c r="D14" s="21"/>
      <c r="E14" s="21"/>
      <c r="F14" s="21"/>
      <c r="G14" s="21"/>
      <c r="H14" s="21"/>
      <c r="I14" s="21"/>
      <c r="J14" s="21"/>
      <c r="K14" s="21"/>
      <c r="L14" s="21"/>
      <c r="M14" s="468"/>
      <c r="N14" s="468"/>
      <c r="O14" s="468"/>
      <c r="P14" s="17"/>
      <c r="Q14" s="21"/>
      <c r="R14" s="17"/>
      <c r="S14" s="21"/>
      <c r="T14" s="21"/>
      <c r="U14" s="21"/>
      <c r="V14" s="21"/>
      <c r="W14" s="468"/>
      <c r="X14" s="468"/>
      <c r="Y14" s="17"/>
      <c r="Z14" s="22"/>
      <c r="AA14" s="17"/>
      <c r="AB14" s="23"/>
      <c r="AC14" s="18"/>
      <c r="AD14" s="19"/>
    </row>
    <row r="15" spans="1:32" ht="30" customHeight="1" thickBot="1" x14ac:dyDescent="0.4">
      <c r="A15" s="16"/>
      <c r="B15" s="119"/>
      <c r="C15" s="20"/>
      <c r="D15" s="436" t="str">
        <f>Taux!B6</f>
        <v>Je suis couvert par l'assurance de mon conjoint</v>
      </c>
      <c r="E15" s="437"/>
      <c r="F15" s="437"/>
      <c r="G15" s="437"/>
      <c r="H15" s="437"/>
      <c r="I15" s="437"/>
      <c r="J15" s="437"/>
      <c r="K15" s="437"/>
      <c r="L15" s="438"/>
      <c r="M15" s="468"/>
      <c r="N15" s="468"/>
      <c r="O15" s="468"/>
      <c r="P15" s="17"/>
      <c r="Q15" s="414"/>
      <c r="R15" s="17"/>
      <c r="S15" s="470"/>
      <c r="T15" s="470"/>
      <c r="U15" s="470"/>
      <c r="V15" s="470"/>
      <c r="W15" s="468"/>
      <c r="X15" s="468"/>
      <c r="Y15" s="17"/>
      <c r="Z15" s="22"/>
      <c r="AA15" s="22"/>
      <c r="AB15" s="23"/>
      <c r="AC15" s="325" t="str">
        <f xml:space="preserve"> IF(AC11&gt;0,"Ce cout n'inclut pas la taxe de vente de 9 %","")</f>
        <v/>
      </c>
      <c r="AD15" s="19"/>
      <c r="AF15" s="111"/>
    </row>
    <row r="16" spans="1:32" ht="12.75" customHeight="1" x14ac:dyDescent="0.35">
      <c r="A16" s="16"/>
      <c r="B16" s="20"/>
      <c r="C16" s="20"/>
      <c r="D16" s="17"/>
      <c r="E16" s="17"/>
      <c r="F16" s="17"/>
      <c r="G16" s="17"/>
      <c r="H16" s="17"/>
      <c r="I16" s="17"/>
      <c r="J16" s="17"/>
      <c r="K16" s="17"/>
      <c r="L16" s="17"/>
      <c r="M16" s="17"/>
      <c r="N16" s="17"/>
      <c r="O16" s="17"/>
      <c r="P16" s="17"/>
      <c r="Q16" s="17"/>
      <c r="R16" s="24"/>
      <c r="S16" s="17"/>
      <c r="T16" s="17"/>
      <c r="U16" s="17"/>
      <c r="V16" s="17"/>
      <c r="W16" s="17"/>
      <c r="X16" s="17"/>
      <c r="Y16" s="17"/>
      <c r="Z16" s="22"/>
      <c r="AA16" s="22"/>
      <c r="AB16" s="22"/>
      <c r="AC16" s="18"/>
      <c r="AD16" s="19"/>
    </row>
    <row r="17" spans="1:32" ht="21" x14ac:dyDescent="0.35">
      <c r="A17" s="25"/>
      <c r="B17" s="26" t="s">
        <v>3</v>
      </c>
      <c r="C17" s="26"/>
      <c r="D17" s="27"/>
      <c r="E17" s="27"/>
      <c r="F17" s="27"/>
      <c r="G17" s="27"/>
      <c r="H17" s="27"/>
      <c r="I17" s="27"/>
      <c r="J17" s="27"/>
      <c r="K17" s="27"/>
      <c r="L17" s="27"/>
      <c r="M17" s="27"/>
      <c r="N17" s="27"/>
      <c r="O17" s="27"/>
      <c r="P17" s="27"/>
      <c r="Q17" s="27"/>
      <c r="R17" s="27"/>
      <c r="S17" s="27"/>
      <c r="T17" s="27"/>
      <c r="U17" s="27"/>
      <c r="V17" s="27"/>
      <c r="W17" s="27"/>
      <c r="X17" s="27"/>
      <c r="Y17" s="27"/>
      <c r="Z17" s="28"/>
      <c r="AA17" s="28"/>
      <c r="AB17" s="28"/>
      <c r="AC17" s="28"/>
      <c r="AD17" s="29"/>
    </row>
    <row r="18" spans="1:32" ht="30" customHeight="1" thickBot="1" x14ac:dyDescent="0.4">
      <c r="A18" s="30"/>
      <c r="B18" s="32" t="s">
        <v>85</v>
      </c>
      <c r="C18" s="31"/>
      <c r="D18" s="32"/>
      <c r="E18" s="33"/>
      <c r="F18" s="33"/>
      <c r="G18" s="33"/>
      <c r="H18" s="33"/>
      <c r="I18" s="33"/>
      <c r="J18" s="33"/>
      <c r="K18" s="33"/>
      <c r="L18" s="33"/>
      <c r="M18" s="33"/>
      <c r="N18" s="33"/>
      <c r="O18" s="33"/>
      <c r="P18" s="33"/>
      <c r="Q18" s="33"/>
      <c r="R18" s="33"/>
      <c r="S18" s="363" t="s">
        <v>83</v>
      </c>
      <c r="T18" s="33"/>
      <c r="U18" s="33"/>
      <c r="V18" s="33"/>
      <c r="W18" s="33"/>
      <c r="X18" s="33"/>
      <c r="Y18" s="33"/>
      <c r="Z18" s="34"/>
      <c r="AA18" s="34"/>
      <c r="AB18" s="34"/>
      <c r="AC18" s="34"/>
      <c r="AD18" s="35"/>
    </row>
    <row r="19" spans="1:32" ht="30" customHeight="1" thickBot="1" x14ac:dyDescent="0.4">
      <c r="A19" s="30"/>
      <c r="B19" s="119"/>
      <c r="C19" s="36"/>
      <c r="D19" s="450" t="str">
        <f>Taux!L3</f>
        <v>Aucune option</v>
      </c>
      <c r="E19" s="452"/>
      <c r="F19" s="452"/>
      <c r="G19" s="452"/>
      <c r="H19" s="452"/>
      <c r="I19" s="452"/>
      <c r="J19" s="452"/>
      <c r="K19" s="452"/>
      <c r="L19" s="451"/>
      <c r="M19" s="453" t="str">
        <f>IF(COUNTBLANK(B19:B23)&lt;4,"Il ne peut y avoir qu'un seul choix de réponse",IF(COUNTBLANK(B19:B23)=5,"Vous devez faire un choix de  protection",""))</f>
        <v>Vous devez faire un choix de  protection</v>
      </c>
      <c r="N19" s="453"/>
      <c r="O19" s="453"/>
      <c r="P19" s="33"/>
      <c r="Q19" s="33"/>
      <c r="R19" s="33"/>
      <c r="S19" s="471" t="str">
        <f>IF(B19="X","",Taux!C9)</f>
        <v/>
      </c>
      <c r="T19" s="472"/>
      <c r="U19" s="472"/>
      <c r="V19" s="473"/>
      <c r="W19" s="469" t="str">
        <f>IF(OR(AND(B15="X",COUNTIF(Q9:Q15,"X")&gt;0,COUNTIF(B21:B23,"X")&gt;0),B19="X",COUNTIF(B19:B23,"X")=0,AND(COUNTIF(B9:B13,"X")&gt;0,COUNTIF(Q9:Q15,"X")&gt;0,COUNTIF(B21:B23,"X")&gt;0)),"","Choisir une protection dans la section assurance maladie")</f>
        <v/>
      </c>
      <c r="X19" s="469"/>
      <c r="Y19" s="469"/>
      <c r="Z19" s="469"/>
      <c r="AA19" s="469"/>
      <c r="AB19" s="469"/>
      <c r="AC19" s="34"/>
      <c r="AD19" s="35"/>
      <c r="AF19" s="111"/>
    </row>
    <row r="20" spans="1:32" ht="3.75" customHeight="1" thickBot="1" x14ac:dyDescent="0.4">
      <c r="A20" s="30"/>
      <c r="B20" s="36"/>
      <c r="C20" s="36"/>
      <c r="D20" s="37"/>
      <c r="E20" s="37"/>
      <c r="F20" s="37"/>
      <c r="G20" s="37"/>
      <c r="H20" s="37"/>
      <c r="I20" s="37"/>
      <c r="J20" s="37"/>
      <c r="K20" s="37"/>
      <c r="L20" s="37"/>
      <c r="M20" s="453"/>
      <c r="N20" s="453"/>
      <c r="O20" s="453"/>
      <c r="P20" s="33"/>
      <c r="Q20" s="33"/>
      <c r="R20" s="38"/>
      <c r="S20" s="38"/>
      <c r="T20" s="38"/>
      <c r="U20" s="39"/>
      <c r="V20" s="39"/>
      <c r="W20" s="469"/>
      <c r="X20" s="469"/>
      <c r="Y20" s="469"/>
      <c r="Z20" s="469"/>
      <c r="AA20" s="469"/>
      <c r="AB20" s="469"/>
      <c r="AC20" s="34"/>
      <c r="AD20" s="35"/>
    </row>
    <row r="21" spans="1:32" ht="30" customHeight="1" thickBot="1" x14ac:dyDescent="0.4">
      <c r="A21" s="30"/>
      <c r="B21" s="119"/>
      <c r="C21" s="36" t="s">
        <v>353</v>
      </c>
      <c r="D21" s="450" t="str">
        <f>Taux!L4</f>
        <v>Protection de base (Option 1)</v>
      </c>
      <c r="E21" s="452"/>
      <c r="F21" s="452"/>
      <c r="G21" s="452"/>
      <c r="H21" s="452"/>
      <c r="I21" s="452"/>
      <c r="J21" s="452"/>
      <c r="K21" s="452"/>
      <c r="L21" s="451"/>
      <c r="M21" s="453"/>
      <c r="N21" s="453"/>
      <c r="O21" s="453"/>
      <c r="P21" s="33"/>
      <c r="Q21" s="33"/>
      <c r="R21" s="33"/>
      <c r="S21" s="33"/>
      <c r="T21" s="33"/>
      <c r="U21" s="39"/>
      <c r="V21" s="39"/>
      <c r="W21" s="469"/>
      <c r="X21" s="469"/>
      <c r="Y21" s="469"/>
      <c r="Z21" s="469"/>
      <c r="AA21" s="469"/>
      <c r="AB21" s="469"/>
      <c r="AC21" s="34"/>
      <c r="AD21" s="35"/>
    </row>
    <row r="22" spans="1:32" ht="3.75" customHeight="1" thickBot="1" x14ac:dyDescent="0.4">
      <c r="A22" s="30"/>
      <c r="B22" s="36"/>
      <c r="C22" s="36"/>
      <c r="D22" s="37"/>
      <c r="E22" s="37"/>
      <c r="F22" s="37"/>
      <c r="G22" s="37"/>
      <c r="H22" s="37"/>
      <c r="I22" s="37"/>
      <c r="J22" s="37"/>
      <c r="K22" s="37"/>
      <c r="L22" s="37"/>
      <c r="M22" s="453"/>
      <c r="N22" s="453"/>
      <c r="O22" s="453"/>
      <c r="P22" s="33"/>
      <c r="Q22" s="33"/>
      <c r="R22" s="33"/>
      <c r="S22" s="33"/>
      <c r="T22" s="33"/>
      <c r="U22" s="39"/>
      <c r="V22" s="39"/>
      <c r="W22" s="33"/>
      <c r="X22" s="33"/>
      <c r="Y22" s="33"/>
      <c r="Z22" s="34"/>
      <c r="AA22" s="34"/>
      <c r="AB22" s="34"/>
      <c r="AC22" s="34"/>
      <c r="AD22" s="35"/>
    </row>
    <row r="23" spans="1:32" ht="30" customHeight="1" thickBot="1" x14ac:dyDescent="0.4">
      <c r="A23" s="30"/>
      <c r="B23" s="119"/>
      <c r="C23" s="36"/>
      <c r="D23" s="450" t="str">
        <f>Taux!L5</f>
        <v>Protection enrichie (Option 2)</v>
      </c>
      <c r="E23" s="452"/>
      <c r="F23" s="452"/>
      <c r="G23" s="452"/>
      <c r="H23" s="452"/>
      <c r="I23" s="452"/>
      <c r="J23" s="452"/>
      <c r="K23" s="452"/>
      <c r="L23" s="451"/>
      <c r="M23" s="453"/>
      <c r="N23" s="453"/>
      <c r="O23" s="453"/>
      <c r="P23" s="33"/>
      <c r="Q23" s="33"/>
      <c r="R23" s="33"/>
      <c r="S23" s="33"/>
      <c r="T23" s="33"/>
      <c r="U23" s="39"/>
      <c r="V23" s="39"/>
      <c r="W23" s="33"/>
      <c r="X23" s="33"/>
      <c r="Y23" s="33"/>
      <c r="Z23" s="34"/>
      <c r="AA23" s="34"/>
      <c r="AB23" s="40" t="s">
        <v>270</v>
      </c>
      <c r="AC23" s="217">
        <f>IF(AND(M19="",W9="",W19=""),Taux!O11,0)</f>
        <v>0</v>
      </c>
      <c r="AD23" s="35"/>
      <c r="AF23" s="111"/>
    </row>
    <row r="24" spans="1:32" ht="3.75" customHeight="1" thickBot="1" x14ac:dyDescent="0.4">
      <c r="A24" s="30"/>
      <c r="B24" s="36"/>
      <c r="C24" s="36"/>
      <c r="D24" s="37"/>
      <c r="E24" s="37"/>
      <c r="F24" s="37"/>
      <c r="G24" s="37"/>
      <c r="H24" s="37"/>
      <c r="I24" s="37"/>
      <c r="J24" s="37"/>
      <c r="K24" s="37"/>
      <c r="L24" s="37"/>
      <c r="M24" s="33"/>
      <c r="N24" s="33"/>
      <c r="O24" s="33"/>
      <c r="P24" s="33"/>
      <c r="Q24" s="33"/>
      <c r="R24" s="33"/>
      <c r="S24" s="33"/>
      <c r="T24" s="33"/>
      <c r="U24" s="39"/>
      <c r="V24" s="39"/>
      <c r="W24" s="33"/>
      <c r="X24" s="33"/>
      <c r="Y24" s="33"/>
      <c r="Z24" s="34"/>
      <c r="AA24" s="34"/>
      <c r="AB24" s="40"/>
      <c r="AC24" s="122"/>
      <c r="AD24" s="35"/>
    </row>
    <row r="25" spans="1:32" ht="30" customHeight="1" thickBot="1" x14ac:dyDescent="0.3">
      <c r="A25" s="30"/>
      <c r="B25" s="33"/>
      <c r="C25" s="33"/>
      <c r="D25" s="460" t="str">
        <f>IF(COUNTIF(B9:B13,"X")&gt;0,"",IF(AND(B15="",COUNTIF(B21:B23,"X")&gt;0),"Afin de bénéficier uniquement de la couverture en soins dentaires, vous devez être couvert par votre conjoint en assurance maladie",""))</f>
        <v/>
      </c>
      <c r="E25" s="460"/>
      <c r="F25" s="460"/>
      <c r="G25" s="460"/>
      <c r="H25" s="460"/>
      <c r="I25" s="460"/>
      <c r="J25" s="460"/>
      <c r="K25" s="460"/>
      <c r="L25" s="460"/>
      <c r="M25" s="460"/>
      <c r="N25" s="460"/>
      <c r="O25" s="460"/>
      <c r="P25" s="460"/>
      <c r="Q25" s="460"/>
      <c r="R25" s="33"/>
      <c r="S25" s="33"/>
      <c r="T25" s="33"/>
      <c r="U25" s="33"/>
      <c r="V25" s="33"/>
      <c r="W25" s="33"/>
      <c r="X25" s="33"/>
      <c r="Y25" s="33"/>
      <c r="Z25" s="34"/>
      <c r="AA25" s="34"/>
      <c r="AB25" s="40" t="s">
        <v>268</v>
      </c>
      <c r="AC25" s="217">
        <f>26*AC23</f>
        <v>0</v>
      </c>
      <c r="AD25" s="35"/>
    </row>
    <row r="26" spans="1:32" ht="30" customHeight="1" x14ac:dyDescent="0.25">
      <c r="A26" s="30"/>
      <c r="B26" s="33"/>
      <c r="C26" s="33"/>
      <c r="D26" s="42"/>
      <c r="E26" s="42"/>
      <c r="F26" s="42"/>
      <c r="G26" s="42"/>
      <c r="H26" s="42"/>
      <c r="I26" s="42"/>
      <c r="J26" s="42"/>
      <c r="K26" s="42"/>
      <c r="L26" s="42"/>
      <c r="M26" s="42"/>
      <c r="N26" s="42"/>
      <c r="O26" s="42"/>
      <c r="P26" s="42"/>
      <c r="Q26" s="42"/>
      <c r="R26" s="33"/>
      <c r="S26" s="33"/>
      <c r="T26" s="33"/>
      <c r="U26" s="33"/>
      <c r="V26" s="33"/>
      <c r="W26" s="33"/>
      <c r="X26" s="33"/>
      <c r="Y26" s="33"/>
      <c r="Z26" s="34"/>
      <c r="AA26" s="34"/>
      <c r="AB26" s="40"/>
      <c r="AC26" s="326" t="str">
        <f xml:space="preserve"> IF(AC23&gt;0,"Ce cout n'inclut pas la taxe de vente de 9 %","")</f>
        <v/>
      </c>
      <c r="AD26" s="35"/>
    </row>
    <row r="27" spans="1:32" ht="3" customHeight="1" x14ac:dyDescent="0.25">
      <c r="A27" s="44"/>
      <c r="B27" s="45"/>
      <c r="C27" s="45"/>
      <c r="D27" s="45"/>
      <c r="E27" s="45"/>
      <c r="F27" s="45"/>
      <c r="G27" s="45"/>
      <c r="H27" s="45"/>
      <c r="I27" s="45"/>
      <c r="J27" s="45"/>
      <c r="K27" s="45"/>
      <c r="L27" s="45"/>
      <c r="M27" s="45"/>
      <c r="N27" s="45"/>
      <c r="O27" s="45"/>
      <c r="P27" s="45"/>
      <c r="Q27" s="45"/>
      <c r="R27" s="45"/>
      <c r="S27" s="45"/>
      <c r="T27" s="45"/>
      <c r="U27" s="45"/>
      <c r="V27" s="45"/>
      <c r="W27" s="45"/>
      <c r="X27" s="45"/>
      <c r="Y27" s="45"/>
      <c r="Z27" s="46"/>
      <c r="AA27" s="46" t="str">
        <f xml:space="preserve"> IF(AC19&gt;0,"Ce cout n'inclut pas la taxe de 9%","")</f>
        <v/>
      </c>
      <c r="AB27" s="46"/>
      <c r="AC27" s="46"/>
      <c r="AD27" s="47"/>
    </row>
    <row r="28" spans="1:32" ht="3.75" customHeight="1" x14ac:dyDescent="0.25">
      <c r="A28" s="13"/>
      <c r="B28" s="14"/>
      <c r="C28" s="14"/>
      <c r="D28" s="14"/>
      <c r="E28" s="14"/>
      <c r="F28" s="14"/>
      <c r="G28" s="14"/>
      <c r="H28" s="14"/>
      <c r="I28" s="14"/>
      <c r="J28" s="14"/>
      <c r="K28" s="14"/>
      <c r="L28" s="14"/>
      <c r="M28" s="14"/>
      <c r="N28" s="14"/>
      <c r="O28" s="14"/>
      <c r="P28" s="14"/>
      <c r="Q28" s="14"/>
      <c r="R28" s="14"/>
      <c r="S28" s="14"/>
      <c r="T28" s="14"/>
      <c r="U28" s="14"/>
      <c r="V28" s="14"/>
      <c r="W28" s="14"/>
      <c r="X28" s="14"/>
      <c r="Y28" s="14"/>
      <c r="Z28" s="48"/>
      <c r="AA28" s="48"/>
      <c r="AB28" s="48"/>
      <c r="AC28" s="48"/>
      <c r="AD28" s="15"/>
    </row>
    <row r="29" spans="1:32" ht="30" customHeight="1" thickBot="1" x14ac:dyDescent="0.4">
      <c r="A29" s="16"/>
      <c r="B29" s="49" t="s">
        <v>1</v>
      </c>
      <c r="C29" s="49"/>
      <c r="D29" s="17"/>
      <c r="E29" s="17"/>
      <c r="F29" s="50"/>
      <c r="G29" s="50"/>
      <c r="H29" s="50"/>
      <c r="I29" s="50"/>
      <c r="J29" s="50"/>
      <c r="K29" s="17"/>
      <c r="L29" s="17"/>
      <c r="M29" s="17"/>
      <c r="N29" s="22"/>
      <c r="O29" s="22"/>
      <c r="P29" s="22"/>
      <c r="Q29" s="22"/>
      <c r="R29" s="22"/>
      <c r="S29" s="22"/>
      <c r="T29" s="22"/>
      <c r="U29" s="22"/>
      <c r="V29" s="22"/>
      <c r="W29" s="17"/>
      <c r="X29" s="17"/>
      <c r="Y29" s="17"/>
      <c r="Z29" s="22"/>
      <c r="AA29" s="22"/>
      <c r="AB29" s="22"/>
      <c r="AC29" s="22"/>
      <c r="AD29" s="19"/>
    </row>
    <row r="30" spans="1:32" ht="31.5" customHeight="1" thickBot="1" x14ac:dyDescent="0.3">
      <c r="A30" s="16"/>
      <c r="B30" s="457" t="s">
        <v>349</v>
      </c>
      <c r="C30" s="457"/>
      <c r="D30" s="457"/>
      <c r="E30" s="457"/>
      <c r="F30" s="457"/>
      <c r="G30" s="457"/>
      <c r="H30" s="457"/>
      <c r="I30" s="457"/>
      <c r="J30" s="457"/>
      <c r="K30" s="457"/>
      <c r="L30" s="457"/>
      <c r="M30" s="457"/>
      <c r="N30" s="448" t="s">
        <v>334</v>
      </c>
      <c r="O30" s="448"/>
      <c r="P30" s="448"/>
      <c r="Q30" s="448"/>
      <c r="R30" s="448"/>
      <c r="S30" s="448"/>
      <c r="T30" s="448"/>
      <c r="U30" s="449"/>
      <c r="V30" s="218">
        <f>IF(COUNTBLANK(B35:B43)=8,Taux!G27,0)</f>
        <v>0</v>
      </c>
      <c r="W30" s="17"/>
      <c r="X30" s="17"/>
      <c r="Y30" s="17"/>
      <c r="Z30" s="22"/>
      <c r="AA30" s="22"/>
      <c r="AB30" s="22"/>
      <c r="AC30" s="22"/>
      <c r="AD30" s="19"/>
    </row>
    <row r="31" spans="1:32" ht="62.25" customHeight="1" x14ac:dyDescent="0.25">
      <c r="A31" s="16"/>
      <c r="B31" s="457"/>
      <c r="C31" s="457"/>
      <c r="D31" s="457"/>
      <c r="E31" s="457"/>
      <c r="F31" s="457"/>
      <c r="G31" s="457"/>
      <c r="H31" s="457"/>
      <c r="I31" s="457"/>
      <c r="J31" s="457"/>
      <c r="K31" s="457"/>
      <c r="L31" s="457"/>
      <c r="M31" s="457"/>
      <c r="N31" s="401"/>
      <c r="O31" s="401"/>
      <c r="P31" s="401"/>
      <c r="Q31" s="401"/>
      <c r="R31" s="401"/>
      <c r="S31" s="401"/>
      <c r="T31" s="401"/>
      <c r="U31" s="401"/>
      <c r="V31" s="403"/>
      <c r="W31" s="17"/>
      <c r="X31" s="17"/>
      <c r="Y31" s="17"/>
      <c r="Z31" s="22"/>
      <c r="AA31" s="22"/>
      <c r="AB31" s="22"/>
      <c r="AC31" s="22"/>
      <c r="AD31" s="19"/>
    </row>
    <row r="32" spans="1:32" ht="30" customHeight="1" x14ac:dyDescent="0.25">
      <c r="A32" s="16"/>
      <c r="B32" s="51" t="s">
        <v>109</v>
      </c>
      <c r="C32" s="51"/>
      <c r="D32" s="17"/>
      <c r="E32" s="17"/>
      <c r="F32" s="17"/>
      <c r="G32" s="17"/>
      <c r="H32" s="17"/>
      <c r="I32" s="17"/>
      <c r="J32" s="17"/>
      <c r="K32" s="17"/>
      <c r="L32" s="17"/>
      <c r="M32" s="17"/>
      <c r="N32" s="17"/>
      <c r="O32" s="17"/>
      <c r="P32" s="22"/>
      <c r="Q32" s="22"/>
      <c r="R32" s="22"/>
      <c r="S32" s="22"/>
      <c r="T32" s="22"/>
      <c r="U32" s="52"/>
      <c r="V32" s="53"/>
      <c r="W32" s="22"/>
      <c r="X32" s="17"/>
      <c r="Y32" s="17"/>
      <c r="Z32" s="22"/>
      <c r="AA32" s="22"/>
      <c r="AB32" s="22"/>
      <c r="AC32" s="22"/>
      <c r="AD32" s="19"/>
    </row>
    <row r="33" spans="1:30" ht="15" hidden="1" customHeight="1" x14ac:dyDescent="0.25">
      <c r="A33" s="16"/>
      <c r="B33" s="22"/>
      <c r="C33" s="22"/>
      <c r="D33" s="22"/>
      <c r="E33" s="22"/>
      <c r="F33" s="22"/>
      <c r="G33" s="22"/>
      <c r="H33" s="22"/>
      <c r="I33" s="22"/>
      <c r="J33" s="22"/>
      <c r="K33" s="22"/>
      <c r="L33" s="22"/>
      <c r="M33" s="22"/>
      <c r="N33" s="22"/>
      <c r="O33" s="17"/>
      <c r="P33" s="22"/>
      <c r="Q33" s="22"/>
      <c r="R33" s="22"/>
      <c r="S33" s="22"/>
      <c r="T33" s="22"/>
      <c r="U33" s="52"/>
      <c r="V33" s="17"/>
      <c r="W33" s="17"/>
      <c r="X33" s="17"/>
      <c r="Y33" s="17"/>
      <c r="Z33" s="22"/>
      <c r="AA33" s="22"/>
      <c r="AB33" s="22"/>
      <c r="AC33" s="22"/>
      <c r="AD33" s="19"/>
    </row>
    <row r="34" spans="1:30" ht="3.75" customHeight="1" thickBot="1" x14ac:dyDescent="0.3">
      <c r="A34" s="16"/>
      <c r="B34" s="214"/>
      <c r="C34" s="51"/>
      <c r="D34" s="17"/>
      <c r="E34" s="17"/>
      <c r="F34" s="17"/>
      <c r="G34" s="17"/>
      <c r="H34" s="17"/>
      <c r="I34" s="17"/>
      <c r="J34" s="17"/>
      <c r="K34" s="17"/>
      <c r="L34" s="17"/>
      <c r="M34" s="17"/>
      <c r="N34" s="17"/>
      <c r="O34" s="17"/>
      <c r="P34" s="22"/>
      <c r="Q34" s="22"/>
      <c r="R34" s="22"/>
      <c r="S34" s="22"/>
      <c r="T34" s="22"/>
      <c r="U34" s="52"/>
      <c r="V34" s="53"/>
      <c r="W34" s="22"/>
      <c r="X34" s="17"/>
      <c r="Y34" s="17"/>
      <c r="Z34" s="22"/>
      <c r="AA34" s="22"/>
      <c r="AB34" s="22"/>
      <c r="AC34" s="22"/>
      <c r="AD34" s="19"/>
    </row>
    <row r="35" spans="1:30" ht="30" customHeight="1" thickBot="1" x14ac:dyDescent="0.3">
      <c r="A35" s="16"/>
      <c r="B35" s="119"/>
      <c r="C35" s="17"/>
      <c r="D35" s="436" t="str">
        <f>Taux!B31</f>
        <v>De l'Université Laval</v>
      </c>
      <c r="E35" s="437"/>
      <c r="F35" s="437"/>
      <c r="G35" s="437"/>
      <c r="H35" s="437"/>
      <c r="I35" s="437"/>
      <c r="J35" s="437"/>
      <c r="K35" s="437"/>
      <c r="L35" s="437"/>
      <c r="M35" s="437"/>
      <c r="N35" s="438"/>
      <c r="O35" s="22"/>
      <c r="P35" s="284"/>
      <c r="Q35" s="284"/>
      <c r="R35" s="22"/>
      <c r="S35" s="22"/>
      <c r="T35" s="22"/>
      <c r="U35" s="23" t="s">
        <v>279</v>
      </c>
      <c r="V35" s="188">
        <v>0</v>
      </c>
      <c r="W35" s="22"/>
      <c r="X35" s="22"/>
      <c r="Y35" s="22"/>
      <c r="Z35" s="22"/>
      <c r="AA35" s="22"/>
      <c r="AB35" s="22"/>
      <c r="AC35" s="22"/>
      <c r="AD35" s="19"/>
    </row>
    <row r="36" spans="1:30" ht="3.75" customHeight="1" thickBot="1" x14ac:dyDescent="0.3">
      <c r="A36" s="16"/>
      <c r="B36" s="17"/>
      <c r="C36" s="17"/>
      <c r="D36" s="51"/>
      <c r="E36" s="51"/>
      <c r="F36" s="17"/>
      <c r="G36" s="17"/>
      <c r="H36" s="17"/>
      <c r="I36" s="17"/>
      <c r="J36" s="17"/>
      <c r="K36" s="17"/>
      <c r="L36" s="17"/>
      <c r="M36" s="17"/>
      <c r="N36" s="22"/>
      <c r="O36" s="284"/>
      <c r="P36" s="284"/>
      <c r="Q36" s="284"/>
      <c r="R36" s="22"/>
      <c r="S36" s="22"/>
      <c r="T36" s="22"/>
      <c r="U36" s="22"/>
      <c r="V36" s="22"/>
      <c r="W36" s="22"/>
      <c r="X36" s="22"/>
      <c r="Y36" s="22"/>
      <c r="Z36" s="22"/>
      <c r="AA36" s="22"/>
      <c r="AB36" s="22"/>
      <c r="AC36" s="22"/>
      <c r="AD36" s="19"/>
    </row>
    <row r="37" spans="1:30" ht="26.25" customHeight="1" thickBot="1" x14ac:dyDescent="0.3">
      <c r="A37" s="16"/>
      <c r="B37" s="119"/>
      <c r="C37" s="17"/>
      <c r="D37" s="436" t="str">
        <f>Taux!B32</f>
        <v>Du collège LaSalle</v>
      </c>
      <c r="E37" s="437"/>
      <c r="F37" s="437"/>
      <c r="G37" s="437"/>
      <c r="H37" s="437"/>
      <c r="I37" s="437"/>
      <c r="J37" s="437"/>
      <c r="K37" s="437"/>
      <c r="L37" s="437"/>
      <c r="M37" s="437"/>
      <c r="N37" s="438"/>
      <c r="O37" s="456" t="str">
        <f>IF(COUNTBLANK(B35:B43)&lt;8,"Il ne peut y avoir qu'un seul choix de réponse","")</f>
        <v/>
      </c>
      <c r="P37" s="456"/>
      <c r="Q37" s="456"/>
      <c r="R37" s="22"/>
      <c r="S37" s="22"/>
      <c r="T37" s="22"/>
      <c r="U37" s="22"/>
      <c r="V37" s="22"/>
      <c r="W37" s="22"/>
      <c r="X37" s="22"/>
      <c r="Y37" s="22"/>
      <c r="Z37" s="22"/>
      <c r="AA37" s="22"/>
      <c r="AB37" s="23" t="s">
        <v>270</v>
      </c>
      <c r="AC37" s="219">
        <f>IF(O37="",ROUND(V35/1000*V30,2),0)</f>
        <v>0</v>
      </c>
      <c r="AD37" s="19"/>
    </row>
    <row r="38" spans="1:30" ht="3.75" customHeight="1" thickBot="1" x14ac:dyDescent="0.3">
      <c r="A38" s="16"/>
      <c r="B38" s="17"/>
      <c r="C38" s="17"/>
      <c r="D38" s="51"/>
      <c r="E38" s="51"/>
      <c r="F38" s="17"/>
      <c r="G38" s="17"/>
      <c r="H38" s="17"/>
      <c r="I38" s="17"/>
      <c r="J38" s="17"/>
      <c r="K38" s="17"/>
      <c r="L38" s="17"/>
      <c r="M38" s="17"/>
      <c r="N38" s="22"/>
      <c r="O38" s="456"/>
      <c r="P38" s="456"/>
      <c r="Q38" s="456"/>
      <c r="R38" s="22"/>
      <c r="S38" s="22"/>
      <c r="T38" s="22"/>
      <c r="U38" s="22"/>
      <c r="V38" s="22"/>
      <c r="W38" s="22"/>
      <c r="X38" s="22"/>
      <c r="Y38" s="22"/>
      <c r="Z38" s="22"/>
      <c r="AA38" s="22"/>
      <c r="AB38" s="22"/>
      <c r="AC38" s="22"/>
      <c r="AD38" s="19"/>
    </row>
    <row r="39" spans="1:30" ht="30" customHeight="1" thickBot="1" x14ac:dyDescent="0.3">
      <c r="A39" s="16"/>
      <c r="B39" s="119"/>
      <c r="C39" s="17"/>
      <c r="D39" s="436" t="str">
        <f>Taux!B33</f>
        <v>Du collège Trinité</v>
      </c>
      <c r="E39" s="437"/>
      <c r="F39" s="437"/>
      <c r="G39" s="437"/>
      <c r="H39" s="437"/>
      <c r="I39" s="437"/>
      <c r="J39" s="437"/>
      <c r="K39" s="437"/>
      <c r="L39" s="437"/>
      <c r="M39" s="437"/>
      <c r="N39" s="438"/>
      <c r="O39" s="456"/>
      <c r="P39" s="456"/>
      <c r="Q39" s="456"/>
      <c r="R39" s="22"/>
      <c r="S39" s="22"/>
      <c r="T39" s="22"/>
      <c r="U39" s="22" t="s">
        <v>97</v>
      </c>
      <c r="V39" s="22"/>
      <c r="W39" s="22"/>
      <c r="X39" s="22"/>
      <c r="Y39" s="22"/>
      <c r="Z39" s="22"/>
      <c r="AA39" s="22"/>
      <c r="AB39" s="23" t="s">
        <v>268</v>
      </c>
      <c r="AC39" s="219">
        <f>AC37*26</f>
        <v>0</v>
      </c>
      <c r="AD39" s="19"/>
    </row>
    <row r="40" spans="1:30" ht="3.75" customHeight="1" thickBot="1" x14ac:dyDescent="0.3">
      <c r="A40" s="16"/>
      <c r="B40" s="17"/>
      <c r="C40" s="17"/>
      <c r="D40" s="51"/>
      <c r="E40" s="51"/>
      <c r="F40" s="17"/>
      <c r="G40" s="17"/>
      <c r="H40" s="17"/>
      <c r="I40" s="17"/>
      <c r="J40" s="17"/>
      <c r="K40" s="17"/>
      <c r="L40" s="17"/>
      <c r="M40" s="17"/>
      <c r="N40" s="22"/>
      <c r="O40" s="456"/>
      <c r="P40" s="456"/>
      <c r="Q40" s="456"/>
      <c r="R40" s="22"/>
      <c r="S40" s="22"/>
      <c r="T40" s="22"/>
      <c r="U40" s="22"/>
      <c r="V40" s="22"/>
      <c r="W40" s="22"/>
      <c r="X40" s="22"/>
      <c r="Y40" s="22"/>
      <c r="Z40" s="22"/>
      <c r="AA40" s="22"/>
      <c r="AB40" s="22"/>
      <c r="AC40" s="22"/>
      <c r="AD40" s="19"/>
    </row>
    <row r="41" spans="1:30" ht="31.5" customHeight="1" thickBot="1" x14ac:dyDescent="0.3">
      <c r="A41" s="16"/>
      <c r="B41" s="119"/>
      <c r="C41" s="17"/>
      <c r="D41" s="436" t="str">
        <f>Taux!B34</f>
        <v>De l'ITHQ ou de l'ITAQ</v>
      </c>
      <c r="E41" s="437"/>
      <c r="F41" s="437"/>
      <c r="G41" s="437"/>
      <c r="H41" s="437"/>
      <c r="I41" s="437"/>
      <c r="J41" s="437"/>
      <c r="K41" s="437"/>
      <c r="L41" s="437"/>
      <c r="M41" s="437"/>
      <c r="N41" s="438"/>
      <c r="O41" s="456"/>
      <c r="P41" s="456"/>
      <c r="Q41" s="456"/>
      <c r="R41" s="22"/>
      <c r="S41" s="22"/>
      <c r="T41" s="22"/>
      <c r="U41" s="22" t="s">
        <v>97</v>
      </c>
      <c r="V41" s="22"/>
      <c r="W41" s="22"/>
      <c r="X41" s="22"/>
      <c r="Y41" s="22"/>
      <c r="Z41" s="22"/>
      <c r="AA41" s="22"/>
      <c r="AB41" s="22"/>
      <c r="AC41" s="325" t="str">
        <f xml:space="preserve"> IF(AC37&gt;0,"Ce cout n'inclut pas la taxe de vente de 9 %","")</f>
        <v/>
      </c>
      <c r="AD41" s="19"/>
    </row>
    <row r="42" spans="1:30" ht="3.75" customHeight="1" thickBot="1" x14ac:dyDescent="0.3">
      <c r="A42" s="16"/>
      <c r="B42" s="17"/>
      <c r="C42" s="17"/>
      <c r="D42" s="51"/>
      <c r="E42" s="51"/>
      <c r="F42" s="17"/>
      <c r="G42" s="17"/>
      <c r="H42" s="17"/>
      <c r="I42" s="17"/>
      <c r="J42" s="17"/>
      <c r="K42" s="17"/>
      <c r="L42" s="17"/>
      <c r="M42" s="17"/>
      <c r="N42" s="22"/>
      <c r="O42" s="284"/>
      <c r="P42" s="284"/>
      <c r="Q42" s="284"/>
      <c r="R42" s="22"/>
      <c r="S42" s="22"/>
      <c r="T42" s="22"/>
      <c r="U42" s="22"/>
      <c r="V42" s="22"/>
      <c r="W42" s="22"/>
      <c r="X42" s="22"/>
      <c r="Y42" s="22"/>
      <c r="Z42" s="22"/>
      <c r="AA42" s="22"/>
      <c r="AB42" s="22"/>
      <c r="AC42" s="22"/>
      <c r="AD42" s="19"/>
    </row>
    <row r="43" spans="1:30" ht="25.5" customHeight="1" thickBot="1" x14ac:dyDescent="0.3">
      <c r="A43" s="16"/>
      <c r="B43" s="119"/>
      <c r="C43" s="17"/>
      <c r="D43" s="436" t="str">
        <f>Taux!B35</f>
        <v>D'un autre collège ou d'une autre université</v>
      </c>
      <c r="E43" s="437"/>
      <c r="F43" s="437"/>
      <c r="G43" s="437"/>
      <c r="H43" s="437"/>
      <c r="I43" s="437"/>
      <c r="J43" s="437"/>
      <c r="K43" s="437"/>
      <c r="L43" s="437"/>
      <c r="M43" s="437"/>
      <c r="N43" s="438"/>
      <c r="O43" s="284"/>
      <c r="P43" s="284"/>
      <c r="Q43" s="284"/>
      <c r="R43" s="22"/>
      <c r="S43" s="22"/>
      <c r="T43" s="22"/>
      <c r="U43" s="22"/>
      <c r="V43" s="22"/>
      <c r="W43" s="22"/>
      <c r="X43" s="22"/>
      <c r="Y43" s="22"/>
      <c r="Z43" s="22"/>
      <c r="AA43" s="22"/>
      <c r="AB43" s="22"/>
      <c r="AC43" s="22"/>
      <c r="AD43" s="19"/>
    </row>
    <row r="44" spans="1:30" ht="3.75" customHeight="1" x14ac:dyDescent="0.25">
      <c r="A44" s="16"/>
      <c r="B44" s="17"/>
      <c r="C44" s="17"/>
      <c r="D44" s="51"/>
      <c r="E44" s="51"/>
      <c r="F44" s="17"/>
      <c r="G44" s="17"/>
      <c r="H44" s="17"/>
      <c r="I44" s="17"/>
      <c r="J44" s="17"/>
      <c r="K44" s="17"/>
      <c r="L44" s="17"/>
      <c r="M44" s="17"/>
      <c r="N44" s="22"/>
      <c r="O44" s="284"/>
      <c r="P44" s="284"/>
      <c r="Q44" s="284"/>
      <c r="R44" s="22"/>
      <c r="S44" s="22"/>
      <c r="T44" s="22"/>
      <c r="U44" s="22"/>
      <c r="V44" s="22"/>
      <c r="W44" s="22"/>
      <c r="X44" s="22"/>
      <c r="Y44" s="22"/>
      <c r="Z44" s="22"/>
      <c r="AA44" s="22"/>
      <c r="AB44" s="22"/>
      <c r="AC44" s="22"/>
      <c r="AD44" s="19"/>
    </row>
    <row r="45" spans="1:30" ht="3.75" customHeight="1" x14ac:dyDescent="0.25">
      <c r="A45" s="54"/>
      <c r="B45" s="55"/>
      <c r="C45" s="55"/>
      <c r="D45" s="55"/>
      <c r="E45" s="55"/>
      <c r="F45" s="55"/>
      <c r="G45" s="55"/>
      <c r="H45" s="55"/>
      <c r="I45" s="55"/>
      <c r="J45" s="55"/>
      <c r="K45" s="55"/>
      <c r="L45" s="55"/>
      <c r="M45" s="55"/>
      <c r="N45" s="55"/>
      <c r="O45" s="55"/>
      <c r="P45" s="55"/>
      <c r="Q45" s="55"/>
      <c r="R45" s="55"/>
      <c r="S45" s="55"/>
      <c r="T45" s="55"/>
      <c r="U45" s="55"/>
      <c r="V45" s="56"/>
      <c r="W45" s="56"/>
      <c r="X45" s="56"/>
      <c r="Y45" s="56"/>
      <c r="Z45" s="56"/>
      <c r="AA45" s="56"/>
      <c r="AB45" s="56"/>
      <c r="AC45" s="56"/>
      <c r="AD45" s="57"/>
    </row>
    <row r="46" spans="1:30" ht="30" customHeight="1" thickBot="1" x14ac:dyDescent="0.4">
      <c r="A46" s="25"/>
      <c r="B46" s="26" t="s">
        <v>2</v>
      </c>
      <c r="C46" s="26"/>
      <c r="D46" s="27"/>
      <c r="E46" s="27"/>
      <c r="F46" s="58"/>
      <c r="G46" s="58"/>
      <c r="H46" s="58"/>
      <c r="I46" s="58"/>
      <c r="J46" s="58"/>
      <c r="K46" s="27"/>
      <c r="L46" s="27"/>
      <c r="M46" s="27"/>
      <c r="N46" s="27"/>
      <c r="O46" s="27"/>
      <c r="P46" s="187"/>
      <c r="Q46" s="187"/>
      <c r="R46" s="187"/>
      <c r="S46" s="187"/>
      <c r="T46" s="187"/>
      <c r="U46" s="187"/>
      <c r="V46" s="27"/>
      <c r="W46" s="27"/>
      <c r="X46" s="27"/>
      <c r="Y46" s="27"/>
      <c r="Z46" s="27"/>
      <c r="AA46" s="28"/>
      <c r="AB46" s="28"/>
      <c r="AC46" s="28"/>
      <c r="AD46" s="29"/>
    </row>
    <row r="47" spans="1:30" ht="30" customHeight="1" thickBot="1" x14ac:dyDescent="0.4">
      <c r="A47" s="30"/>
      <c r="B47" s="33" t="s">
        <v>90</v>
      </c>
      <c r="C47" s="31"/>
      <c r="D47" s="33"/>
      <c r="E47" s="33"/>
      <c r="F47" s="59"/>
      <c r="G47" s="59"/>
      <c r="H47" s="59"/>
      <c r="I47" s="59"/>
      <c r="J47" s="59"/>
      <c r="K47" s="33"/>
      <c r="L47" s="33"/>
      <c r="M47" s="33"/>
      <c r="N47" s="458" t="s">
        <v>316</v>
      </c>
      <c r="O47" s="458"/>
      <c r="P47" s="458"/>
      <c r="Q47" s="458"/>
      <c r="R47" s="458"/>
      <c r="S47" s="458"/>
      <c r="T47" s="458"/>
      <c r="U47" s="459"/>
      <c r="V47" s="220">
        <f>Taux!I33</f>
        <v>0</v>
      </c>
      <c r="W47" s="33"/>
      <c r="X47" s="33"/>
      <c r="Y47" s="33"/>
      <c r="Z47" s="33"/>
      <c r="AA47" s="34"/>
      <c r="AB47" s="34"/>
      <c r="AC47" s="34"/>
      <c r="AD47" s="35"/>
    </row>
    <row r="48" spans="1:30" ht="30" customHeight="1" thickBot="1" x14ac:dyDescent="0.3">
      <c r="A48" s="30"/>
      <c r="B48" s="119"/>
      <c r="C48" s="33"/>
      <c r="D48" s="454" t="str">
        <f>Taux!I28</f>
        <v>Oui</v>
      </c>
      <c r="E48" s="455"/>
      <c r="F48" s="442" t="str">
        <f>IF(COUNTBLANK(B48:B50)&lt;2,"Il ne peut y avoir qu'un seul choix de réponse",IF(COUNTBLANK(B48:B50)=3,"Vous devez faire un choix de réponse",""))</f>
        <v>Vous devez faire un choix de réponse</v>
      </c>
      <c r="G48" s="442"/>
      <c r="H48" s="442"/>
      <c r="I48" s="442"/>
      <c r="J48" s="442"/>
      <c r="K48" s="442"/>
      <c r="L48" s="33"/>
      <c r="M48" s="33"/>
      <c r="N48" s="33"/>
      <c r="O48" s="33"/>
      <c r="P48" s="110"/>
      <c r="Q48" s="110"/>
      <c r="R48" s="110"/>
      <c r="S48" s="110"/>
      <c r="T48" s="110"/>
      <c r="U48" s="60"/>
      <c r="V48" s="33"/>
      <c r="W48" s="61"/>
      <c r="X48" s="33"/>
      <c r="Y48" s="33"/>
      <c r="Z48" s="34"/>
      <c r="AA48" s="34"/>
      <c r="AB48" s="34"/>
      <c r="AC48" s="34"/>
      <c r="AD48" s="35"/>
    </row>
    <row r="49" spans="1:205" ht="3.75" customHeight="1" thickBot="1" x14ac:dyDescent="0.3">
      <c r="A49" s="30"/>
      <c r="B49" s="34"/>
      <c r="C49" s="33"/>
      <c r="D49" s="33"/>
      <c r="E49" s="33"/>
      <c r="F49" s="442"/>
      <c r="G49" s="442"/>
      <c r="H49" s="442"/>
      <c r="I49" s="442"/>
      <c r="J49" s="442"/>
      <c r="K49" s="442"/>
      <c r="L49" s="33"/>
      <c r="M49" s="33"/>
      <c r="N49" s="33"/>
      <c r="O49" s="33"/>
      <c r="P49" s="33"/>
      <c r="Q49" s="33"/>
      <c r="R49" s="33"/>
      <c r="S49" s="33"/>
      <c r="T49" s="33"/>
      <c r="U49" s="33"/>
      <c r="V49" s="33"/>
      <c r="W49" s="61"/>
      <c r="X49" s="33"/>
      <c r="Y49" s="33"/>
      <c r="Z49" s="34"/>
      <c r="AA49" s="34"/>
      <c r="AB49" s="34"/>
      <c r="AC49" s="34"/>
      <c r="AD49" s="35"/>
    </row>
    <row r="50" spans="1:205" ht="30" customHeight="1" thickBot="1" x14ac:dyDescent="0.3">
      <c r="A50" s="30"/>
      <c r="B50" s="119"/>
      <c r="C50" s="33"/>
      <c r="D50" s="454" t="str">
        <f>Taux!I29</f>
        <v>Non</v>
      </c>
      <c r="E50" s="455"/>
      <c r="F50" s="442"/>
      <c r="G50" s="442"/>
      <c r="H50" s="442"/>
      <c r="I50" s="442"/>
      <c r="J50" s="442"/>
      <c r="K50" s="442"/>
      <c r="L50" s="33"/>
      <c r="M50" s="33"/>
      <c r="N50" s="33"/>
      <c r="O50" s="33"/>
      <c r="P50" s="61"/>
      <c r="Q50" s="61"/>
      <c r="R50" s="61"/>
      <c r="S50" s="33"/>
      <c r="T50" s="33"/>
      <c r="U50" s="189" t="s">
        <v>337</v>
      </c>
      <c r="V50" s="188">
        <f>V35</f>
        <v>0</v>
      </c>
      <c r="W50" s="63"/>
      <c r="X50" s="33"/>
      <c r="Y50" s="33"/>
      <c r="Z50" s="34"/>
      <c r="AA50" s="34"/>
      <c r="AB50" s="40" t="s">
        <v>270</v>
      </c>
      <c r="AC50" s="217">
        <f>IF(F48="",ROUND(V50/1000*V47,2),0)</f>
        <v>0</v>
      </c>
      <c r="AD50" s="35"/>
      <c r="AF50" s="105"/>
    </row>
    <row r="51" spans="1:205" ht="3.75" customHeight="1" x14ac:dyDescent="0.25">
      <c r="A51" s="30"/>
      <c r="B51" s="34"/>
      <c r="C51" s="33"/>
      <c r="D51" s="33"/>
      <c r="E51" s="33"/>
      <c r="F51" s="33"/>
      <c r="G51" s="33"/>
      <c r="H51" s="33"/>
      <c r="I51" s="33"/>
      <c r="J51" s="33"/>
      <c r="K51" s="33"/>
      <c r="L51" s="33"/>
      <c r="M51" s="33"/>
      <c r="N51" s="33"/>
      <c r="O51" s="33"/>
      <c r="P51" s="33"/>
      <c r="Q51" s="33"/>
      <c r="R51" s="33"/>
      <c r="S51" s="33"/>
      <c r="T51" s="33"/>
      <c r="U51" s="33"/>
      <c r="V51" s="33"/>
      <c r="W51" s="61"/>
      <c r="X51" s="33"/>
      <c r="Y51" s="33"/>
      <c r="Z51" s="34"/>
      <c r="AA51" s="34"/>
      <c r="AB51" s="34"/>
      <c r="AC51" s="40"/>
      <c r="AD51" s="35"/>
    </row>
    <row r="52" spans="1:205" ht="30" customHeight="1" thickBot="1" x14ac:dyDescent="0.3">
      <c r="A52" s="30"/>
      <c r="B52" s="443"/>
      <c r="C52" s="443"/>
      <c r="D52" s="443"/>
      <c r="E52" s="443"/>
      <c r="F52" s="443"/>
      <c r="G52" s="443"/>
      <c r="H52" s="443"/>
      <c r="I52" s="443"/>
      <c r="J52" s="443"/>
      <c r="K52" s="443"/>
      <c r="L52" s="443"/>
      <c r="M52" s="443"/>
      <c r="N52" s="443"/>
      <c r="O52" s="443"/>
      <c r="P52" s="443"/>
      <c r="Q52" s="443"/>
      <c r="R52" s="62"/>
      <c r="S52" s="62"/>
      <c r="T52" s="62"/>
      <c r="U52" s="62"/>
      <c r="V52" s="63"/>
      <c r="W52" s="63"/>
      <c r="X52" s="63"/>
      <c r="Y52" s="33"/>
      <c r="Z52" s="34"/>
      <c r="AA52" s="34"/>
      <c r="AB52" s="40" t="s">
        <v>268</v>
      </c>
      <c r="AC52" s="221">
        <f>26*AC50</f>
        <v>0</v>
      </c>
      <c r="AD52" s="35"/>
    </row>
    <row r="53" spans="1:205" ht="30" customHeight="1" x14ac:dyDescent="0.25">
      <c r="A53" s="44"/>
      <c r="B53" s="444"/>
      <c r="C53" s="444"/>
      <c r="D53" s="444"/>
      <c r="E53" s="444"/>
      <c r="F53" s="444"/>
      <c r="G53" s="444"/>
      <c r="H53" s="444"/>
      <c r="I53" s="444"/>
      <c r="J53" s="444"/>
      <c r="K53" s="444"/>
      <c r="L53" s="444"/>
      <c r="M53" s="444"/>
      <c r="N53" s="444"/>
      <c r="O53" s="444"/>
      <c r="P53" s="444"/>
      <c r="Q53" s="444"/>
      <c r="R53" s="45"/>
      <c r="S53" s="45"/>
      <c r="T53" s="45"/>
      <c r="U53" s="45"/>
      <c r="V53" s="45"/>
      <c r="W53" s="45"/>
      <c r="X53" s="45"/>
      <c r="Y53" s="45"/>
      <c r="Z53" s="46"/>
      <c r="AA53" s="46"/>
      <c r="AB53" s="46"/>
      <c r="AC53" s="328" t="str">
        <f xml:space="preserve"> IF(AC50&gt;0,"Ce cout tient compte d'un congé de prime de 9,2%, mais n'inclut pas la taxe de vente de 9 %","")</f>
        <v/>
      </c>
      <c r="AD53" s="47"/>
    </row>
    <row r="54" spans="1:205" ht="3.75" customHeight="1" x14ac:dyDescent="0.25">
      <c r="A54" s="13"/>
      <c r="B54" s="65"/>
      <c r="C54" s="65"/>
      <c r="D54" s="65"/>
      <c r="E54" s="65"/>
      <c r="F54" s="65"/>
      <c r="G54" s="65"/>
      <c r="H54" s="65"/>
      <c r="I54" s="65"/>
      <c r="J54" s="65"/>
      <c r="K54" s="65"/>
      <c r="L54" s="65"/>
      <c r="M54" s="65"/>
      <c r="N54" s="65"/>
      <c r="O54" s="65"/>
      <c r="P54" s="65"/>
      <c r="Q54" s="65"/>
      <c r="R54" s="14"/>
      <c r="S54" s="14"/>
      <c r="T54" s="14"/>
      <c r="U54" s="14"/>
      <c r="V54" s="14"/>
      <c r="W54" s="14"/>
      <c r="X54" s="14"/>
      <c r="Y54" s="14"/>
      <c r="Z54" s="48"/>
      <c r="AA54" s="48"/>
      <c r="AB54" s="48"/>
      <c r="AC54" s="48"/>
      <c r="AD54" s="15"/>
    </row>
    <row r="55" spans="1:205" s="66" customFormat="1" ht="30" customHeight="1" x14ac:dyDescent="0.35">
      <c r="A55" s="16"/>
      <c r="B55" s="49" t="s">
        <v>4</v>
      </c>
      <c r="C55" s="49"/>
      <c r="D55" s="17"/>
      <c r="E55" s="17"/>
      <c r="F55" s="17"/>
      <c r="G55" s="17"/>
      <c r="H55" s="17"/>
      <c r="I55" s="17"/>
      <c r="J55" s="17"/>
      <c r="K55" s="17"/>
      <c r="L55" s="17"/>
      <c r="M55" s="17"/>
      <c r="N55" s="17"/>
      <c r="O55" s="17"/>
      <c r="P55" s="17"/>
      <c r="Q55" s="51" t="s">
        <v>105</v>
      </c>
      <c r="R55" s="17"/>
      <c r="S55" s="51"/>
      <c r="T55" s="51"/>
      <c r="U55" s="22"/>
      <c r="V55" s="22"/>
      <c r="W55" s="22"/>
      <c r="X55" s="22"/>
      <c r="Y55" s="22"/>
      <c r="Z55" s="22"/>
      <c r="AA55" s="22"/>
      <c r="AB55" s="22"/>
      <c r="AC55" s="22"/>
      <c r="AD55" s="19"/>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row>
    <row r="56" spans="1:205" s="66" customFormat="1" ht="3.75" customHeight="1" thickBot="1" x14ac:dyDescent="0.4">
      <c r="A56" s="16"/>
      <c r="B56" s="49"/>
      <c r="C56" s="49"/>
      <c r="D56" s="17"/>
      <c r="E56" s="17"/>
      <c r="F56" s="17"/>
      <c r="G56" s="17"/>
      <c r="H56" s="17"/>
      <c r="I56" s="17"/>
      <c r="J56" s="17"/>
      <c r="K56" s="17"/>
      <c r="L56" s="17"/>
      <c r="M56" s="17"/>
      <c r="N56" s="17"/>
      <c r="O56" s="17"/>
      <c r="P56" s="17"/>
      <c r="Q56" s="17"/>
      <c r="R56" s="17"/>
      <c r="S56" s="22"/>
      <c r="T56" s="22"/>
      <c r="U56" s="22"/>
      <c r="V56" s="22"/>
      <c r="W56" s="17"/>
      <c r="X56" s="17"/>
      <c r="Y56" s="17"/>
      <c r="Z56" s="17"/>
      <c r="AA56" s="22"/>
      <c r="AB56" s="22"/>
      <c r="AC56" s="22"/>
      <c r="AD56" s="19"/>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row>
    <row r="57" spans="1:205" s="66" customFormat="1" ht="30" customHeight="1" thickBot="1" x14ac:dyDescent="0.3">
      <c r="A57" s="16"/>
      <c r="B57" s="67" t="s">
        <v>167</v>
      </c>
      <c r="C57" s="67"/>
      <c r="D57" s="17"/>
      <c r="E57" s="17"/>
      <c r="F57" s="17"/>
      <c r="G57" s="17"/>
      <c r="H57" s="17"/>
      <c r="I57" s="17"/>
      <c r="J57" s="17"/>
      <c r="K57" s="17"/>
      <c r="L57" s="17"/>
      <c r="M57" s="17"/>
      <c r="N57" s="17"/>
      <c r="O57" s="17"/>
      <c r="P57" s="17"/>
      <c r="Q57" s="119"/>
      <c r="R57" s="17"/>
      <c r="S57" s="436" t="str">
        <f>IF(Taux!R19=Taux!R15,Taux!N18,IF(Taux!R19=Taux!R16,Taux!N17,"NON DISPONIBLE"))</f>
        <v>Une fois le salaire annuel</v>
      </c>
      <c r="T57" s="437"/>
      <c r="U57" s="437"/>
      <c r="V57" s="437"/>
      <c r="W57" s="438"/>
      <c r="X57" s="434" t="str">
        <f>IF(ISBLANK(B61),"",IF(COUNTBLANK(Q57:Q59)&lt;2,"Il ne peut y avoir qu'un seul choix de réponse",IF(COUNTBLANK(Q57:Q59)=3,"Vous devez faire un choix de réponse","")))</f>
        <v/>
      </c>
      <c r="Y57" s="434"/>
      <c r="Z57" s="68"/>
      <c r="AA57" s="22"/>
      <c r="AB57" s="22"/>
      <c r="AC57" s="22"/>
      <c r="AD57" s="19"/>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row>
    <row r="58" spans="1:205" s="66" customFormat="1" ht="3.75" customHeight="1" thickBot="1" x14ac:dyDescent="0.3">
      <c r="A58" s="16"/>
      <c r="B58" s="67"/>
      <c r="C58" s="67"/>
      <c r="D58" s="17"/>
      <c r="E58" s="17"/>
      <c r="F58" s="17"/>
      <c r="G58" s="17"/>
      <c r="H58" s="17"/>
      <c r="I58" s="17"/>
      <c r="J58" s="17"/>
      <c r="K58" s="17"/>
      <c r="L58" s="17"/>
      <c r="M58" s="17"/>
      <c r="N58" s="17"/>
      <c r="O58" s="17"/>
      <c r="P58" s="17"/>
      <c r="Q58" s="17"/>
      <c r="R58" s="17"/>
      <c r="S58" s="17"/>
      <c r="T58" s="17"/>
      <c r="U58" s="17"/>
      <c r="V58" s="17"/>
      <c r="W58" s="17"/>
      <c r="X58" s="434"/>
      <c r="Y58" s="434"/>
      <c r="Z58" s="68"/>
      <c r="AA58" s="22"/>
      <c r="AB58" s="22"/>
      <c r="AC58" s="22"/>
      <c r="AD58" s="19"/>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row>
    <row r="59" spans="1:205" s="66" customFormat="1" ht="30" customHeight="1" thickBot="1" x14ac:dyDescent="0.3">
      <c r="A59" s="16"/>
      <c r="B59" s="17" t="s">
        <v>88</v>
      </c>
      <c r="C59" s="67"/>
      <c r="D59" s="17"/>
      <c r="E59" s="17"/>
      <c r="F59" s="17"/>
      <c r="G59" s="17"/>
      <c r="H59" s="17"/>
      <c r="I59" s="17"/>
      <c r="J59" s="17"/>
      <c r="K59" s="17"/>
      <c r="L59" s="17"/>
      <c r="M59" s="17"/>
      <c r="N59" s="17"/>
      <c r="O59" s="17"/>
      <c r="P59" s="17"/>
      <c r="Q59" s="119"/>
      <c r="R59" s="17"/>
      <c r="S59" s="436" t="str">
        <f>IF(Taux!R19=Taux!R15,Taux!N19,IF(Taux!R19=Taux!R16,Taux!N18,Taux!N16))</f>
        <v>Deux fois le salaire annuel</v>
      </c>
      <c r="T59" s="437"/>
      <c r="U59" s="437"/>
      <c r="V59" s="437"/>
      <c r="W59" s="438"/>
      <c r="X59" s="434"/>
      <c r="Y59" s="434"/>
      <c r="Z59" s="68"/>
      <c r="AA59" s="22"/>
      <c r="AB59" s="22"/>
      <c r="AC59" s="22"/>
      <c r="AD59" s="1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row>
    <row r="60" spans="1:205" s="66" customFormat="1" ht="3.75" customHeight="1" thickBot="1" x14ac:dyDescent="0.3">
      <c r="A60" s="16"/>
      <c r="B60" s="67"/>
      <c r="C60" s="67"/>
      <c r="D60" s="17"/>
      <c r="E60" s="17"/>
      <c r="F60" s="17"/>
      <c r="G60" s="17"/>
      <c r="H60" s="17"/>
      <c r="I60" s="17"/>
      <c r="J60" s="17"/>
      <c r="K60" s="17"/>
      <c r="L60" s="17"/>
      <c r="M60" s="17"/>
      <c r="N60" s="17"/>
      <c r="O60" s="17"/>
      <c r="P60" s="17"/>
      <c r="Q60" s="69"/>
      <c r="R60" s="70"/>
      <c r="S60" s="70"/>
      <c r="T60" s="70"/>
      <c r="U60" s="17"/>
      <c r="V60" s="17"/>
      <c r="W60" s="22"/>
      <c r="X60" s="22"/>
      <c r="Y60" s="17"/>
      <c r="Z60" s="22"/>
      <c r="AA60" s="22"/>
      <c r="AB60" s="22"/>
      <c r="AC60" s="18"/>
      <c r="AD60" s="19"/>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row>
    <row r="61" spans="1:205" s="66" customFormat="1" ht="30" customHeight="1" thickBot="1" x14ac:dyDescent="0.3">
      <c r="A61" s="16"/>
      <c r="B61" s="119"/>
      <c r="C61" s="22"/>
      <c r="D61" s="436" t="str">
        <f>Taux!L15</f>
        <v>Oui</v>
      </c>
      <c r="E61" s="438"/>
      <c r="F61" s="434" t="str">
        <f>IF(COUNTBLANK(B61:B63)&lt;2,"Il ne peut y avoir qu'un seul choix de réponse",IF(COUNTBLANK(B61:B63)=3,"Vous devez faire un choix de réponse",""))</f>
        <v>Vous devez faire un choix de réponse</v>
      </c>
      <c r="G61" s="434"/>
      <c r="H61" s="434"/>
      <c r="I61" s="68"/>
      <c r="J61" s="68"/>
      <c r="K61" s="68"/>
      <c r="L61" s="17"/>
      <c r="M61" s="17"/>
      <c r="N61" s="17"/>
      <c r="O61" s="17"/>
      <c r="P61" s="17"/>
      <c r="Q61" s="69"/>
      <c r="R61" s="69"/>
      <c r="S61" s="69"/>
      <c r="T61" s="69"/>
      <c r="U61" s="23" t="s">
        <v>338</v>
      </c>
      <c r="V61" s="285">
        <f>V50</f>
        <v>0</v>
      </c>
      <c r="W61" s="17"/>
      <c r="X61" s="284"/>
      <c r="Y61" s="17"/>
      <c r="Z61" s="22"/>
      <c r="AA61" s="22"/>
      <c r="AB61" s="23"/>
      <c r="AC61" s="18"/>
      <c r="AD61" s="19"/>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row>
    <row r="62" spans="1:205" s="66" customFormat="1" ht="3.75" customHeight="1" thickBot="1" x14ac:dyDescent="0.3">
      <c r="A62" s="16"/>
      <c r="B62" s="300"/>
      <c r="C62" s="22"/>
      <c r="D62" s="21"/>
      <c r="E62" s="17"/>
      <c r="F62" s="434"/>
      <c r="G62" s="434"/>
      <c r="H62" s="434"/>
      <c r="I62" s="68"/>
      <c r="J62" s="68"/>
      <c r="K62" s="68"/>
      <c r="L62" s="17"/>
      <c r="M62" s="17"/>
      <c r="N62" s="17"/>
      <c r="O62" s="17"/>
      <c r="P62" s="17"/>
      <c r="Q62" s="69"/>
      <c r="R62" s="69"/>
      <c r="S62" s="69"/>
      <c r="T62" s="69"/>
      <c r="U62" s="71"/>
      <c r="V62" s="72"/>
      <c r="W62" s="284"/>
      <c r="X62" s="284"/>
      <c r="Y62" s="17"/>
      <c r="Z62" s="22"/>
      <c r="AA62" s="22"/>
      <c r="AB62" s="23"/>
      <c r="AC62" s="18"/>
      <c r="AD62" s="19"/>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row>
    <row r="63" spans="1:205" s="66" customFormat="1" ht="30" customHeight="1" thickBot="1" x14ac:dyDescent="0.3">
      <c r="A63" s="16"/>
      <c r="B63" s="119"/>
      <c r="C63" s="22"/>
      <c r="D63" s="436" t="str">
        <f>Taux!L16</f>
        <v>Non</v>
      </c>
      <c r="E63" s="438"/>
      <c r="F63" s="434"/>
      <c r="G63" s="434"/>
      <c r="H63" s="434"/>
      <c r="I63" s="68"/>
      <c r="J63" s="68"/>
      <c r="K63" s="68"/>
      <c r="L63" s="17"/>
      <c r="M63" s="17"/>
      <c r="N63" s="17"/>
      <c r="O63" s="17"/>
      <c r="P63" s="17"/>
      <c r="Q63" s="69"/>
      <c r="R63" s="69"/>
      <c r="S63" s="69"/>
      <c r="T63" s="69"/>
      <c r="U63" s="71" t="s">
        <v>110</v>
      </c>
      <c r="V63" s="222">
        <f>Taux!Q18</f>
        <v>0</v>
      </c>
      <c r="W63" s="487" t="str">
        <f>IF(AND(V61&lt;75000,Taux!R19=Taux!R15),"Le montant minimum assurable est de 75 000$ pour l'assurance vie de base.","")</f>
        <v>Le montant minimum assurable est de 75 000$ pour l'assurance vie de base.</v>
      </c>
      <c r="X63" s="488"/>
      <c r="Y63" s="488"/>
      <c r="Z63" s="17"/>
      <c r="AA63" s="17"/>
      <c r="AB63" s="17"/>
      <c r="AC63" s="17"/>
      <c r="AD63" s="19"/>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row>
    <row r="64" spans="1:205" s="66" customFormat="1" ht="3.75" customHeight="1" x14ac:dyDescent="0.25">
      <c r="A64" s="16"/>
      <c r="B64" s="300"/>
      <c r="C64" s="22"/>
      <c r="D64" s="21"/>
      <c r="E64" s="17"/>
      <c r="F64" s="17"/>
      <c r="G64" s="17"/>
      <c r="H64" s="17"/>
      <c r="I64" s="17"/>
      <c r="J64" s="17"/>
      <c r="K64" s="17"/>
      <c r="L64" s="17"/>
      <c r="M64" s="17"/>
      <c r="N64" s="17"/>
      <c r="O64" s="17"/>
      <c r="P64" s="17"/>
      <c r="Q64" s="69"/>
      <c r="R64" s="69"/>
      <c r="S64" s="69"/>
      <c r="T64" s="69"/>
      <c r="U64" s="73"/>
      <c r="V64" s="17"/>
      <c r="W64" s="71"/>
      <c r="X64" s="72"/>
      <c r="Y64" s="17"/>
      <c r="Z64" s="17"/>
      <c r="AA64" s="17"/>
      <c r="AB64" s="17"/>
      <c r="AC64" s="17"/>
      <c r="AD64" s="19"/>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row>
    <row r="65" spans="1:205" s="66" customFormat="1" ht="30" customHeight="1" thickBot="1" x14ac:dyDescent="0.3">
      <c r="A65" s="16"/>
      <c r="B65" s="17"/>
      <c r="C65" s="17"/>
      <c r="D65" s="445" t="s">
        <v>101</v>
      </c>
      <c r="E65" s="445"/>
      <c r="F65" s="445"/>
      <c r="G65" s="445"/>
      <c r="H65" s="445"/>
      <c r="I65" s="445"/>
      <c r="J65" s="445"/>
      <c r="K65" s="445"/>
      <c r="L65" s="22"/>
      <c r="M65" s="22"/>
      <c r="N65" s="22"/>
      <c r="O65" s="22"/>
      <c r="P65" s="22"/>
      <c r="Q65" s="22"/>
      <c r="R65" s="17"/>
      <c r="S65" s="17"/>
      <c r="T65" s="17"/>
      <c r="U65" s="17"/>
      <c r="V65" s="17"/>
      <c r="W65" s="71"/>
      <c r="X65" s="71"/>
      <c r="Y65" s="71"/>
      <c r="Z65" s="17"/>
      <c r="AA65" s="17"/>
      <c r="AB65" s="17"/>
      <c r="AC65" s="320"/>
      <c r="AD65" s="19"/>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row>
    <row r="66" spans="1:205" s="66" customFormat="1" ht="30" customHeight="1" thickBot="1" x14ac:dyDescent="0.3">
      <c r="A66" s="16"/>
      <c r="B66" s="17"/>
      <c r="C66" s="17"/>
      <c r="D66" s="439" t="str">
        <f>Taux!R19</f>
        <v>Moins de 65 ans</v>
      </c>
      <c r="E66" s="440"/>
      <c r="F66" s="440"/>
      <c r="G66" s="440"/>
      <c r="H66" s="440"/>
      <c r="I66" s="440"/>
      <c r="J66" s="440"/>
      <c r="K66" s="441"/>
      <c r="L66" s="434"/>
      <c r="M66" s="70"/>
      <c r="N66" s="70"/>
      <c r="O66" s="70"/>
      <c r="P66" s="70"/>
      <c r="Q66" s="70"/>
      <c r="R66" s="70"/>
      <c r="S66" s="70"/>
      <c r="T66" s="70"/>
      <c r="U66" s="73"/>
      <c r="V66" s="17"/>
      <c r="W66" s="71"/>
      <c r="X66" s="71"/>
      <c r="Y66" s="71"/>
      <c r="Z66" s="22"/>
      <c r="AA66" s="22"/>
      <c r="AB66" s="23" t="s">
        <v>270</v>
      </c>
      <c r="AC66" s="216">
        <f>IF(AND(F61="",X57=""),ROUND(V68*V63/1000,2)+V70,0)</f>
        <v>0</v>
      </c>
      <c r="AD66" s="19"/>
      <c r="AE66"/>
      <c r="AF66"/>
      <c r="AG66"/>
      <c r="AH66"/>
      <c r="AI66"/>
      <c r="AJ66" s="105"/>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row>
    <row r="67" spans="1:205" s="66" customFormat="1" ht="3.75" customHeight="1" thickBot="1" x14ac:dyDescent="0.3">
      <c r="A67" s="16"/>
      <c r="B67" s="17"/>
      <c r="C67" s="17"/>
      <c r="D67" s="17"/>
      <c r="E67" s="17"/>
      <c r="F67" s="17"/>
      <c r="G67" s="17"/>
      <c r="H67" s="17"/>
      <c r="I67" s="17"/>
      <c r="J67" s="17"/>
      <c r="K67" s="17"/>
      <c r="L67" s="434"/>
      <c r="M67" s="17"/>
      <c r="N67" s="17"/>
      <c r="O67" s="17"/>
      <c r="P67" s="17"/>
      <c r="Q67" s="17"/>
      <c r="R67" s="17"/>
      <c r="S67" s="17"/>
      <c r="T67" s="17"/>
      <c r="U67" s="17"/>
      <c r="V67" s="74"/>
      <c r="W67" s="75"/>
      <c r="X67" s="17"/>
      <c r="Y67" s="17"/>
      <c r="Z67" s="22"/>
      <c r="AA67" s="22"/>
      <c r="AB67" s="22"/>
      <c r="AC67" s="22"/>
      <c r="AD67" s="19"/>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row>
    <row r="68" spans="1:205" s="66" customFormat="1" ht="30" customHeight="1" thickBot="1" x14ac:dyDescent="0.3">
      <c r="A68" s="16"/>
      <c r="B68" s="17"/>
      <c r="C68" s="17"/>
      <c r="D68" s="490"/>
      <c r="E68" s="490"/>
      <c r="F68" s="490"/>
      <c r="G68" s="490"/>
      <c r="H68" s="490"/>
      <c r="I68" s="490"/>
      <c r="J68" s="490"/>
      <c r="K68" s="17"/>
      <c r="L68" s="434"/>
      <c r="M68" s="70"/>
      <c r="N68" s="446" t="s">
        <v>317</v>
      </c>
      <c r="O68" s="446"/>
      <c r="P68" s="446"/>
      <c r="Q68" s="446"/>
      <c r="R68" s="446"/>
      <c r="S68" s="446"/>
      <c r="T68" s="446"/>
      <c r="U68" s="447"/>
      <c r="V68" s="223">
        <f>Taux!L20</f>
        <v>0</v>
      </c>
      <c r="W68" s="76"/>
      <c r="X68" s="71"/>
      <c r="Y68" s="71"/>
      <c r="Z68" s="22"/>
      <c r="AA68" s="22"/>
      <c r="AB68" s="23" t="s">
        <v>268</v>
      </c>
      <c r="AC68" s="216">
        <f>26*AC66</f>
        <v>0</v>
      </c>
      <c r="AD68" s="19"/>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row>
    <row r="69" spans="1:205" s="66" customFormat="1" ht="3.75" customHeight="1" thickBot="1" x14ac:dyDescent="0.3">
      <c r="A69" s="16"/>
      <c r="B69" s="17"/>
      <c r="C69" s="17"/>
      <c r="D69" s="17"/>
      <c r="E69" s="17"/>
      <c r="F69" s="17"/>
      <c r="G69" s="17"/>
      <c r="H69" s="17"/>
      <c r="I69" s="17"/>
      <c r="J69" s="17"/>
      <c r="K69" s="17"/>
      <c r="L69" s="434"/>
      <c r="M69" s="17"/>
      <c r="N69" s="124"/>
      <c r="O69" s="124"/>
      <c r="P69" s="124"/>
      <c r="Q69" s="124"/>
      <c r="R69" s="124"/>
      <c r="S69" s="124"/>
      <c r="T69" s="124"/>
      <c r="U69" s="124"/>
      <c r="V69" s="17"/>
      <c r="W69" s="17"/>
      <c r="X69" s="17"/>
      <c r="Y69" s="17"/>
      <c r="Z69" s="71"/>
      <c r="AA69" s="300"/>
      <c r="AB69" s="71"/>
      <c r="AC69" s="71"/>
      <c r="AD69" s="1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row>
    <row r="70" spans="1:205" s="66" customFormat="1" ht="30" customHeight="1" thickBot="1" x14ac:dyDescent="0.3">
      <c r="A70" s="16"/>
      <c r="B70" s="17"/>
      <c r="C70" s="17"/>
      <c r="D70" s="17"/>
      <c r="E70" s="17"/>
      <c r="F70" s="17"/>
      <c r="G70" s="17"/>
      <c r="H70" s="17"/>
      <c r="I70" s="17"/>
      <c r="J70" s="17"/>
      <c r="K70" s="17"/>
      <c r="L70" s="434"/>
      <c r="M70" s="70"/>
      <c r="N70" s="448" t="s">
        <v>299</v>
      </c>
      <c r="O70" s="448"/>
      <c r="P70" s="448"/>
      <c r="Q70" s="448"/>
      <c r="R70" s="448"/>
      <c r="S70" s="448"/>
      <c r="T70" s="448"/>
      <c r="U70" s="449"/>
      <c r="V70" s="224">
        <f>IF(Taux!L18=Taux!L15,Taux!Q16,0)</f>
        <v>0</v>
      </c>
      <c r="W70" s="77"/>
      <c r="X70" s="71"/>
      <c r="Y70" s="71"/>
      <c r="Z70" s="71"/>
      <c r="AA70" s="22"/>
      <c r="AB70" s="71"/>
      <c r="AC70" s="327" t="str">
        <f xml:space="preserve"> IF(AC66&gt;0,"Ce cout tient compte d'un congé de prime de 50 %, mais n'inclut pas la taxe de vente de 9 %","")</f>
        <v/>
      </c>
      <c r="AD70" s="19"/>
      <c r="AE70"/>
      <c r="AF70"/>
      <c r="AG70" s="105"/>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row>
    <row r="71" spans="1:205" s="66" customFormat="1" ht="3.75" customHeight="1" x14ac:dyDescent="0.25">
      <c r="A71" s="54"/>
      <c r="B71" s="78" t="s">
        <v>100</v>
      </c>
      <c r="C71" s="78"/>
      <c r="D71" s="55"/>
      <c r="E71" s="55"/>
      <c r="F71" s="55"/>
      <c r="G71" s="55"/>
      <c r="H71" s="55"/>
      <c r="I71" s="55"/>
      <c r="J71" s="55"/>
      <c r="K71" s="55"/>
      <c r="L71" s="55"/>
      <c r="M71" s="55"/>
      <c r="N71" s="55"/>
      <c r="O71" s="55"/>
      <c r="P71" s="55"/>
      <c r="Q71" s="55"/>
      <c r="R71" s="55"/>
      <c r="S71" s="55"/>
      <c r="T71" s="55"/>
      <c r="U71" s="55"/>
      <c r="V71" s="55"/>
      <c r="W71" s="55"/>
      <c r="X71" s="55"/>
      <c r="Y71" s="55"/>
      <c r="Z71" s="56"/>
      <c r="AA71" s="56"/>
      <c r="AB71" s="56"/>
      <c r="AC71" s="56"/>
      <c r="AD71" s="57"/>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row>
    <row r="72" spans="1:205" s="80" customFormat="1" ht="30" customHeight="1" x14ac:dyDescent="0.35">
      <c r="A72" s="25"/>
      <c r="B72" s="31" t="s">
        <v>60</v>
      </c>
      <c r="C72" s="31"/>
      <c r="D72" s="33"/>
      <c r="E72" s="33"/>
      <c r="F72" s="33"/>
      <c r="G72" s="33"/>
      <c r="H72" s="33"/>
      <c r="I72" s="33"/>
      <c r="J72" s="33"/>
      <c r="K72" s="33"/>
      <c r="L72" s="33"/>
      <c r="M72" s="33"/>
      <c r="N72" s="33"/>
      <c r="O72" s="33"/>
      <c r="P72" s="33"/>
      <c r="Q72" s="33"/>
      <c r="R72" s="33"/>
      <c r="S72" s="33"/>
      <c r="T72" s="33"/>
      <c r="U72" s="33"/>
      <c r="V72" s="33"/>
      <c r="W72" s="79"/>
      <c r="X72" s="33"/>
      <c r="Y72" s="33"/>
      <c r="Z72" s="28"/>
      <c r="AA72" s="34"/>
      <c r="AB72" s="34"/>
      <c r="AC72" s="34"/>
      <c r="AD72" s="35"/>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row>
    <row r="73" spans="1:205" s="80" customFormat="1" ht="30" customHeight="1" thickBot="1" x14ac:dyDescent="0.4">
      <c r="A73" s="30"/>
      <c r="B73" s="33" t="s">
        <v>89</v>
      </c>
      <c r="C73" s="36"/>
      <c r="D73" s="34"/>
      <c r="E73" s="33"/>
      <c r="F73" s="33"/>
      <c r="G73" s="33"/>
      <c r="H73" s="33"/>
      <c r="I73" s="33"/>
      <c r="J73" s="33"/>
      <c r="K73" s="33"/>
      <c r="L73" s="33"/>
      <c r="M73" s="33"/>
      <c r="N73" s="33"/>
      <c r="O73" s="33"/>
      <c r="P73" s="33"/>
      <c r="Q73" s="33"/>
      <c r="R73" s="33"/>
      <c r="S73" s="33"/>
      <c r="T73" s="33"/>
      <c r="U73" s="33"/>
      <c r="V73" s="33"/>
      <c r="W73" s="79"/>
      <c r="X73" s="33"/>
      <c r="Y73" s="33"/>
      <c r="Z73" s="34"/>
      <c r="AA73" s="34"/>
      <c r="AB73" s="34"/>
      <c r="AC73" s="108"/>
      <c r="AD73" s="35"/>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row>
    <row r="74" spans="1:205" ht="30" customHeight="1" thickBot="1" x14ac:dyDescent="0.3">
      <c r="A74" s="30"/>
      <c r="B74" s="119"/>
      <c r="C74" s="33"/>
      <c r="D74" s="450" t="str">
        <f>Taux!L25</f>
        <v>Oui</v>
      </c>
      <c r="E74" s="451"/>
      <c r="F74" s="442" t="str">
        <f>IF(COUNTBLANK(B74:B76)&lt;2,"Il ne peut y avoir qu'un seul choix de réponse",IF(COUNTBLANK(B74:B76)=3,"Vous devez faire un choix de réponse",""))</f>
        <v>Vous devez faire un choix de réponse</v>
      </c>
      <c r="G74" s="442"/>
      <c r="H74" s="442"/>
      <c r="I74" s="442"/>
      <c r="J74" s="442"/>
      <c r="K74" s="442"/>
      <c r="L74" s="33"/>
      <c r="M74" s="33"/>
      <c r="N74" s="33"/>
      <c r="O74" s="33"/>
      <c r="P74" s="33"/>
      <c r="Q74" s="79"/>
      <c r="R74" s="33"/>
      <c r="S74" s="33"/>
      <c r="T74" s="33"/>
      <c r="U74" s="60"/>
      <c r="V74" s="33"/>
      <c r="W74" s="61"/>
      <c r="X74" s="33"/>
      <c r="Y74" s="33"/>
      <c r="Z74" s="34"/>
      <c r="AA74" s="34"/>
      <c r="AB74" s="40" t="s">
        <v>270</v>
      </c>
      <c r="AC74" s="41">
        <f>IF(F74="",Taux!L30,0)</f>
        <v>0</v>
      </c>
      <c r="AD74" s="35"/>
    </row>
    <row r="75" spans="1:205" ht="3.75" customHeight="1" thickBot="1" x14ac:dyDescent="0.3">
      <c r="A75" s="30"/>
      <c r="B75" s="34"/>
      <c r="C75" s="33"/>
      <c r="D75" s="33"/>
      <c r="E75" s="33"/>
      <c r="F75" s="442"/>
      <c r="G75" s="442"/>
      <c r="H75" s="442"/>
      <c r="I75" s="442"/>
      <c r="J75" s="442"/>
      <c r="K75" s="442"/>
      <c r="L75" s="33"/>
      <c r="M75" s="33"/>
      <c r="N75" s="33"/>
      <c r="O75" s="33"/>
      <c r="P75" s="33"/>
      <c r="Q75" s="33"/>
      <c r="R75" s="33"/>
      <c r="S75" s="33"/>
      <c r="T75" s="33"/>
      <c r="U75" s="33"/>
      <c r="V75" s="33"/>
      <c r="W75" s="61"/>
      <c r="X75" s="33"/>
      <c r="Y75" s="33"/>
      <c r="Z75" s="34"/>
      <c r="AA75" s="34"/>
      <c r="AB75" s="34"/>
      <c r="AC75" s="34"/>
      <c r="AD75" s="35"/>
    </row>
    <row r="76" spans="1:205" ht="30" customHeight="1" thickBot="1" x14ac:dyDescent="0.3">
      <c r="A76" s="30"/>
      <c r="B76" s="119"/>
      <c r="C76" s="33"/>
      <c r="D76" s="450" t="str">
        <f>Taux!L26</f>
        <v>Non</v>
      </c>
      <c r="E76" s="451"/>
      <c r="F76" s="442"/>
      <c r="G76" s="442"/>
      <c r="H76" s="442"/>
      <c r="I76" s="442"/>
      <c r="J76" s="442"/>
      <c r="K76" s="442"/>
      <c r="L76" s="33"/>
      <c r="M76" s="33"/>
      <c r="N76" s="33"/>
      <c r="O76" s="33"/>
      <c r="P76" s="33"/>
      <c r="Q76" s="33"/>
      <c r="R76" s="33"/>
      <c r="S76" s="33"/>
      <c r="T76" s="33"/>
      <c r="U76" s="485"/>
      <c r="V76" s="485"/>
      <c r="W76" s="485"/>
      <c r="X76" s="33"/>
      <c r="Y76" s="33"/>
      <c r="Z76" s="34"/>
      <c r="AA76" s="34"/>
      <c r="AB76" s="40" t="s">
        <v>268</v>
      </c>
      <c r="AC76" s="64">
        <f>26*AC74</f>
        <v>0</v>
      </c>
      <c r="AD76" s="35"/>
    </row>
    <row r="77" spans="1:205" ht="3.75" customHeight="1" x14ac:dyDescent="0.25">
      <c r="A77" s="30"/>
      <c r="B77" s="34"/>
      <c r="C77" s="33"/>
      <c r="D77" s="33"/>
      <c r="E77" s="33"/>
      <c r="F77" s="33"/>
      <c r="G77" s="81"/>
      <c r="H77" s="81"/>
      <c r="I77" s="81"/>
      <c r="J77" s="81"/>
      <c r="K77" s="81"/>
      <c r="L77" s="81"/>
      <c r="M77" s="33"/>
      <c r="N77" s="33"/>
      <c r="O77" s="33"/>
      <c r="P77" s="33"/>
      <c r="Q77" s="33"/>
      <c r="R77" s="33"/>
      <c r="S77" s="33"/>
      <c r="T77" s="33"/>
      <c r="U77" s="33"/>
      <c r="V77" s="33"/>
      <c r="W77" s="61"/>
      <c r="X77" s="33"/>
      <c r="Y77" s="33"/>
      <c r="Z77" s="34"/>
      <c r="AA77" s="34"/>
      <c r="AB77" s="34"/>
      <c r="AC77" s="43"/>
      <c r="AD77" s="35"/>
    </row>
    <row r="78" spans="1:205" s="80" customFormat="1" ht="30" customHeight="1" x14ac:dyDescent="0.25">
      <c r="A78" s="30"/>
      <c r="B78" s="33"/>
      <c r="C78" s="33"/>
      <c r="D78" s="33"/>
      <c r="E78" s="33"/>
      <c r="F78" s="37"/>
      <c r="G78" s="114" t="str">
        <f>IF(AND(Taux!L28=Taux!L25,Taux!L18=Taux!L16),"Pour souscrire l'assurance vie des personnes à charge, vous devez avoir l'assurance vie de base","")</f>
        <v/>
      </c>
      <c r="H78" s="81"/>
      <c r="I78" s="81"/>
      <c r="J78" s="81"/>
      <c r="K78" s="81"/>
      <c r="L78" s="81"/>
      <c r="M78" s="33"/>
      <c r="N78" s="33"/>
      <c r="O78" s="33"/>
      <c r="P78" s="33"/>
      <c r="Q78" s="33"/>
      <c r="R78" s="33"/>
      <c r="S78" s="33"/>
      <c r="T78" s="33"/>
      <c r="U78" s="33"/>
      <c r="V78" s="33"/>
      <c r="W78" s="79"/>
      <c r="X78" s="33"/>
      <c r="Y78" s="33"/>
      <c r="Z78" s="34"/>
      <c r="AA78" s="33"/>
      <c r="AB78" s="33"/>
      <c r="AC78" s="326" t="str">
        <f xml:space="preserve"> IF(AC74&gt;0,"Ce cout tient compte d'un congé de prime de 50 %, mais n'inclut pas la taxe de vente de 9 %","")</f>
        <v/>
      </c>
      <c r="AD78" s="35"/>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row>
    <row r="79" spans="1:205" ht="3.75" customHeight="1" x14ac:dyDescent="0.25">
      <c r="A79" s="13"/>
      <c r="B79" s="65"/>
      <c r="C79" s="65"/>
      <c r="D79" s="65"/>
      <c r="E79" s="65"/>
      <c r="F79" s="65"/>
      <c r="G79" s="65"/>
      <c r="H79" s="65"/>
      <c r="I79" s="65"/>
      <c r="J79" s="65"/>
      <c r="K79" s="65"/>
      <c r="L79" s="65"/>
      <c r="M79" s="65"/>
      <c r="N79" s="65"/>
      <c r="O79" s="65"/>
      <c r="P79" s="65"/>
      <c r="Q79" s="65"/>
      <c r="R79" s="14"/>
      <c r="S79" s="14"/>
      <c r="T79" s="14"/>
      <c r="U79" s="14"/>
      <c r="V79" s="14"/>
      <c r="W79" s="14"/>
      <c r="X79" s="14"/>
      <c r="Y79" s="14"/>
      <c r="Z79" s="48"/>
      <c r="AA79" s="48"/>
      <c r="AB79" s="48"/>
      <c r="AC79" s="48"/>
      <c r="AD79" s="15"/>
    </row>
    <row r="80" spans="1:205" ht="30" customHeight="1" thickBot="1" x14ac:dyDescent="0.4">
      <c r="A80" s="16"/>
      <c r="B80" s="49" t="s">
        <v>22</v>
      </c>
      <c r="C80" s="49"/>
      <c r="D80" s="17"/>
      <c r="E80" s="17"/>
      <c r="F80" s="17"/>
      <c r="G80" s="17"/>
      <c r="H80" s="17"/>
      <c r="I80" s="17"/>
      <c r="J80" s="17"/>
      <c r="K80" s="17"/>
      <c r="L80" s="17"/>
      <c r="M80" s="17"/>
      <c r="N80" s="17"/>
      <c r="O80" s="17"/>
      <c r="P80" s="17"/>
      <c r="Q80" s="17"/>
      <c r="R80" s="53"/>
      <c r="S80" s="17"/>
      <c r="T80" s="17"/>
      <c r="U80" s="17"/>
      <c r="V80" s="17"/>
      <c r="W80" s="17"/>
      <c r="X80" s="17"/>
      <c r="Y80" s="17"/>
      <c r="Z80" s="22"/>
      <c r="AA80" s="22"/>
      <c r="AB80" s="22"/>
      <c r="AC80" s="22"/>
      <c r="AD80" s="19"/>
    </row>
    <row r="81" spans="1:30" ht="30" customHeight="1" thickBot="1" x14ac:dyDescent="0.4">
      <c r="A81" s="16"/>
      <c r="B81" s="20" t="s">
        <v>62</v>
      </c>
      <c r="C81" s="20"/>
      <c r="D81" s="17"/>
      <c r="E81" s="17"/>
      <c r="F81" s="17"/>
      <c r="G81" s="17"/>
      <c r="H81" s="17"/>
      <c r="I81" s="17"/>
      <c r="J81" s="17"/>
      <c r="K81" s="17"/>
      <c r="L81" s="17"/>
      <c r="M81" s="17"/>
      <c r="N81" s="17"/>
      <c r="O81" s="448" t="s">
        <v>318</v>
      </c>
      <c r="P81" s="448"/>
      <c r="Q81" s="448"/>
      <c r="R81" s="448"/>
      <c r="S81" s="448"/>
      <c r="T81" s="448"/>
      <c r="U81" s="449"/>
      <c r="V81" s="218">
        <f>Taux!R52</f>
        <v>0</v>
      </c>
      <c r="W81" s="17"/>
      <c r="X81" s="17"/>
      <c r="Y81" s="23" t="s">
        <v>106</v>
      </c>
      <c r="Z81" s="126">
        <f>IF(AND(Taux!V45&gt;0,Taux!W48&gt;0),0,Taux!V45+Taux!W48)</f>
        <v>0</v>
      </c>
      <c r="AA81" s="82"/>
      <c r="AB81" s="22"/>
      <c r="AC81" s="22"/>
      <c r="AD81" s="19"/>
    </row>
    <row r="82" spans="1:30" ht="30" customHeight="1" x14ac:dyDescent="0.35">
      <c r="A82" s="16"/>
      <c r="B82" s="20"/>
      <c r="C82" s="20"/>
      <c r="D82" s="17"/>
      <c r="E82" s="17"/>
      <c r="F82" s="17"/>
      <c r="G82" s="17"/>
      <c r="H82" s="17"/>
      <c r="I82" s="17"/>
      <c r="J82" s="17"/>
      <c r="K82" s="17"/>
      <c r="L82" s="17"/>
      <c r="M82" s="17"/>
      <c r="N82" s="17"/>
      <c r="O82" s="17"/>
      <c r="P82" s="83"/>
      <c r="Q82" s="17"/>
      <c r="R82" s="83"/>
      <c r="S82" s="83"/>
      <c r="T82" s="83"/>
      <c r="U82" s="83"/>
      <c r="V82" s="17"/>
      <c r="W82" s="17"/>
      <c r="X82" s="17"/>
      <c r="Y82" s="23"/>
      <c r="Z82" s="82"/>
      <c r="AA82" s="82"/>
      <c r="AB82" s="22"/>
      <c r="AC82" s="22"/>
      <c r="AD82" s="19"/>
    </row>
    <row r="83" spans="1:30" ht="30" customHeight="1" thickBot="1" x14ac:dyDescent="0.3">
      <c r="A83" s="16"/>
      <c r="B83" s="435" t="s">
        <v>104</v>
      </c>
      <c r="C83" s="435"/>
      <c r="D83" s="435"/>
      <c r="E83" s="435"/>
      <c r="F83" s="435"/>
      <c r="G83" s="435"/>
      <c r="H83" s="435"/>
      <c r="I83" s="17" t="s">
        <v>37</v>
      </c>
      <c r="J83" s="84"/>
      <c r="K83" s="17"/>
      <c r="L83" s="17"/>
      <c r="M83" s="17"/>
      <c r="N83" s="17"/>
      <c r="O83" s="17"/>
      <c r="P83" s="17"/>
      <c r="Q83" s="17"/>
      <c r="R83" s="465" t="s">
        <v>339</v>
      </c>
      <c r="S83" s="465"/>
      <c r="T83" s="465"/>
      <c r="U83" s="465"/>
      <c r="V83" s="465"/>
      <c r="W83" s="465"/>
      <c r="X83" s="465"/>
      <c r="Y83" s="465"/>
      <c r="Z83" s="22"/>
      <c r="AA83" s="22"/>
      <c r="AB83" s="22"/>
      <c r="AC83" s="22"/>
      <c r="AD83" s="19"/>
    </row>
    <row r="84" spans="1:30" ht="30" customHeight="1" thickBot="1" x14ac:dyDescent="0.3">
      <c r="A84" s="16"/>
      <c r="B84" s="119"/>
      <c r="C84" s="17"/>
      <c r="D84" s="436" t="str">
        <f>Taux!L37</f>
        <v>Oui</v>
      </c>
      <c r="E84" s="438"/>
      <c r="F84" s="434" t="str">
        <f>IF(COUNTBLANK(B84:B86)&lt;2,"Il ne peut y avoir qu'un seul choix de réponse",IF(COUNTBLANK(B84:B86)=3,"Vous devez faire un choix de réponse",""))</f>
        <v>Vous devez faire un choix de réponse</v>
      </c>
      <c r="G84" s="434"/>
      <c r="H84" s="434"/>
      <c r="I84" s="119"/>
      <c r="J84" s="17"/>
      <c r="K84" s="436" t="str">
        <f>Taux!L43</f>
        <v>Homme</v>
      </c>
      <c r="L84" s="437"/>
      <c r="M84" s="438"/>
      <c r="N84" s="434" t="str">
        <f>IF(ISBLANK(B84),"",IF(COUNTBLANK(I84:I86)&lt;2,"Il ne peut y avoir qu'un seul choix de réponse",IF(COUNTBLANK(I84:I86)=3,"Vous devez faire un choix de réponse","")))</f>
        <v/>
      </c>
      <c r="O84" s="434"/>
      <c r="P84" s="434"/>
      <c r="Q84" s="434"/>
      <c r="R84" s="85"/>
      <c r="S84" s="22"/>
      <c r="T84" s="22"/>
      <c r="U84" s="225"/>
      <c r="V84" s="22" t="s">
        <v>313</v>
      </c>
      <c r="W84" s="22"/>
      <c r="X84" s="22"/>
      <c r="Y84" s="126">
        <f>IF(OR(U84=1,U84=2,U84=3,U84=4,U84=5,U84=6,U84=7),U84*20000,0)</f>
        <v>0</v>
      </c>
      <c r="Z84" s="468" t="str">
        <f>IF(AND(Y84&gt;0,Y91&gt;0),"Pour effectuer un changement à votre protection, vous devez sélectionner des tranches de 25 000$ uniquement","")</f>
        <v/>
      </c>
      <c r="AA84" s="468"/>
      <c r="AB84" s="22"/>
      <c r="AC84" s="22"/>
      <c r="AD84" s="19"/>
    </row>
    <row r="85" spans="1:30" ht="3.75" customHeight="1" thickBot="1" x14ac:dyDescent="0.3">
      <c r="A85" s="16"/>
      <c r="B85" s="22"/>
      <c r="C85" s="23"/>
      <c r="D85" s="17"/>
      <c r="E85" s="17"/>
      <c r="F85" s="434"/>
      <c r="G85" s="434"/>
      <c r="H85" s="434"/>
      <c r="I85" s="17"/>
      <c r="J85" s="17"/>
      <c r="K85" s="17"/>
      <c r="L85" s="17"/>
      <c r="M85" s="17"/>
      <c r="N85" s="434"/>
      <c r="O85" s="434"/>
      <c r="P85" s="434"/>
      <c r="Q85" s="434"/>
      <c r="R85" s="86"/>
      <c r="S85" s="17"/>
      <c r="T85" s="17"/>
      <c r="U85" s="17"/>
      <c r="V85" s="17"/>
      <c r="W85" s="17"/>
      <c r="X85" s="17"/>
      <c r="Y85" s="17"/>
      <c r="Z85" s="468"/>
      <c r="AA85" s="468"/>
      <c r="AB85" s="22"/>
      <c r="AC85" s="22"/>
      <c r="AD85" s="19"/>
    </row>
    <row r="86" spans="1:30" ht="30" customHeight="1" thickBot="1" x14ac:dyDescent="0.3">
      <c r="A86" s="16"/>
      <c r="B86" s="119"/>
      <c r="C86" s="17"/>
      <c r="D86" s="436" t="str">
        <f>Taux!L38</f>
        <v>Non</v>
      </c>
      <c r="E86" s="438"/>
      <c r="F86" s="434"/>
      <c r="G86" s="434"/>
      <c r="H86" s="434"/>
      <c r="I86" s="119"/>
      <c r="J86" s="17"/>
      <c r="K86" s="436" t="str">
        <f>Taux!L44</f>
        <v>Femme</v>
      </c>
      <c r="L86" s="437"/>
      <c r="M86" s="438"/>
      <c r="N86" s="434"/>
      <c r="O86" s="434"/>
      <c r="P86" s="434"/>
      <c r="Q86" s="434"/>
      <c r="R86" s="86"/>
      <c r="S86" s="17"/>
      <c r="T86" s="17"/>
      <c r="U86" s="17"/>
      <c r="V86" s="17"/>
      <c r="W86" s="17"/>
      <c r="X86" s="17"/>
      <c r="Y86" s="17"/>
      <c r="Z86" s="468"/>
      <c r="AA86" s="468"/>
      <c r="AB86" s="22"/>
      <c r="AC86" s="22"/>
      <c r="AD86" s="19"/>
    </row>
    <row r="87" spans="1:30" ht="3.75" customHeight="1" x14ac:dyDescent="0.25">
      <c r="A87" s="16"/>
      <c r="B87" s="22"/>
      <c r="C87" s="23"/>
      <c r="D87" s="17"/>
      <c r="E87" s="17"/>
      <c r="F87" s="17"/>
      <c r="G87" s="17"/>
      <c r="H87" s="17"/>
      <c r="I87" s="17"/>
      <c r="J87" s="17"/>
      <c r="K87" s="17"/>
      <c r="L87" s="17"/>
      <c r="M87" s="17"/>
      <c r="N87" s="68"/>
      <c r="O87" s="68"/>
      <c r="P87" s="68"/>
      <c r="Q87" s="68"/>
      <c r="R87" s="86"/>
      <c r="S87" s="17"/>
      <c r="T87" s="17"/>
      <c r="U87" s="17"/>
      <c r="V87" s="17"/>
      <c r="W87" s="17"/>
      <c r="X87" s="17"/>
      <c r="Y87" s="17"/>
      <c r="Z87" s="468"/>
      <c r="AA87" s="468"/>
      <c r="AB87" s="22"/>
      <c r="AC87" s="22"/>
      <c r="AD87" s="19"/>
    </row>
    <row r="88" spans="1:30" ht="18" customHeight="1" x14ac:dyDescent="0.25">
      <c r="A88" s="16"/>
      <c r="B88" s="212" t="str">
        <f>IF(AND((OR(B84="x",B84="X")),OR(NOT(OR(Q59="x",Q59="X")),NOT(OR(B61="x",B61="X")))),"Vous devez souscrire au maximum de l'assurance vie de base pour pouvoir ajouter de l'assurance vie additionnelle","")</f>
        <v/>
      </c>
      <c r="C88" s="23"/>
      <c r="D88" s="17"/>
      <c r="E88" s="17"/>
      <c r="F88" s="17"/>
      <c r="G88" s="17"/>
      <c r="H88" s="17"/>
      <c r="I88" s="17"/>
      <c r="J88" s="17"/>
      <c r="K88" s="17"/>
      <c r="L88" s="17"/>
      <c r="M88" s="17"/>
      <c r="N88" s="68"/>
      <c r="O88" s="68"/>
      <c r="P88" s="68"/>
      <c r="Q88" s="68"/>
      <c r="R88" s="86"/>
      <c r="S88" s="17"/>
      <c r="T88" s="17"/>
      <c r="U88" s="17"/>
      <c r="V88" s="17"/>
      <c r="W88" s="17"/>
      <c r="X88" s="17"/>
      <c r="Y88" s="17"/>
      <c r="Z88" s="468"/>
      <c r="AA88" s="468"/>
      <c r="AB88" s="22"/>
      <c r="AC88" s="22"/>
      <c r="AD88" s="19"/>
    </row>
    <row r="89" spans="1:30" ht="30" customHeight="1" x14ac:dyDescent="0.25">
      <c r="A89" s="16"/>
      <c r="B89" s="17"/>
      <c r="C89" s="17"/>
      <c r="D89" s="17"/>
      <c r="E89" s="17"/>
      <c r="F89" s="17"/>
      <c r="G89" s="17"/>
      <c r="H89" s="17"/>
      <c r="I89" s="17" t="s">
        <v>37</v>
      </c>
      <c r="J89" s="17"/>
      <c r="K89" s="85"/>
      <c r="L89" s="85"/>
      <c r="M89" s="85"/>
      <c r="N89" s="68"/>
      <c r="O89" s="68"/>
      <c r="P89" s="68"/>
      <c r="Q89" s="68"/>
      <c r="R89" s="465" t="s">
        <v>354</v>
      </c>
      <c r="S89" s="465"/>
      <c r="T89" s="465"/>
      <c r="U89" s="465"/>
      <c r="V89" s="465"/>
      <c r="W89" s="465"/>
      <c r="X89" s="465"/>
      <c r="Y89" s="465"/>
      <c r="Z89" s="468"/>
      <c r="AA89" s="468"/>
      <c r="AB89" s="22"/>
      <c r="AC89" s="22"/>
      <c r="AD89" s="19"/>
    </row>
    <row r="90" spans="1:30" ht="3.75" customHeight="1" thickBot="1" x14ac:dyDescent="0.3">
      <c r="A90" s="16"/>
      <c r="B90" s="22"/>
      <c r="C90" s="23"/>
      <c r="D90" s="17"/>
      <c r="E90" s="17"/>
      <c r="F90" s="17"/>
      <c r="G90" s="17"/>
      <c r="H90" s="17"/>
      <c r="I90" s="17"/>
      <c r="J90" s="17"/>
      <c r="K90" s="17"/>
      <c r="L90" s="17"/>
      <c r="M90" s="17"/>
      <c r="N90" s="17"/>
      <c r="O90" s="17"/>
      <c r="P90" s="17"/>
      <c r="Q90" s="17"/>
      <c r="R90" s="17"/>
      <c r="S90" s="17"/>
      <c r="T90" s="17"/>
      <c r="U90" s="17"/>
      <c r="V90" s="17"/>
      <c r="W90" s="17"/>
      <c r="X90" s="17"/>
      <c r="Y90" s="17"/>
      <c r="Z90" s="22"/>
      <c r="AA90" s="22"/>
      <c r="AB90" s="22"/>
      <c r="AC90" s="22"/>
      <c r="AD90" s="19"/>
    </row>
    <row r="91" spans="1:30" ht="30" customHeight="1" thickBot="1" x14ac:dyDescent="0.3">
      <c r="A91" s="16"/>
      <c r="B91" s="486" t="s">
        <v>284</v>
      </c>
      <c r="C91" s="486"/>
      <c r="D91" s="486"/>
      <c r="E91" s="22"/>
      <c r="F91" s="17"/>
      <c r="G91" s="17"/>
      <c r="H91" s="17"/>
      <c r="I91" s="119"/>
      <c r="J91" s="17"/>
      <c r="K91" s="436" t="str">
        <f>IF(Taux!L46=Taux!L44,Taux!L51,Taux!L49)</f>
        <v>Non fumeur</v>
      </c>
      <c r="L91" s="437"/>
      <c r="M91" s="438"/>
      <c r="N91" s="434" t="str">
        <f>IF(ISBLANK(B84),"",IF(COUNTBLANK(I91:I93)&lt;2,"Il ne peut y avoir qu'un seul choix de réponse",IF(COUNTBLANK(I91:I93)=3,"Vous devez faire un choix de réponse","")))</f>
        <v/>
      </c>
      <c r="O91" s="434"/>
      <c r="P91" s="434"/>
      <c r="Q91" s="434"/>
      <c r="R91" s="85"/>
      <c r="S91" s="22"/>
      <c r="T91" s="22"/>
      <c r="U91" s="225"/>
      <c r="V91" s="22" t="s">
        <v>314</v>
      </c>
      <c r="W91" s="22"/>
      <c r="X91" s="22"/>
      <c r="Y91" s="126">
        <f>IF(OR(U91=1,U91=2,U91=3,U91=4,U91=5,U91=6,U91=7,U91=8,U91=9,U91=10),U91*25000,0)</f>
        <v>0</v>
      </c>
      <c r="Z91" s="22"/>
      <c r="AA91" s="22"/>
      <c r="AB91" s="23" t="s">
        <v>270</v>
      </c>
      <c r="AC91" s="123">
        <f>IF(AND(F84="",N84="",N91="",Z84="",B94=""),ROUND(Z81/1000*V81,2),0)</f>
        <v>0</v>
      </c>
      <c r="AD91" s="19"/>
    </row>
    <row r="92" spans="1:30" ht="3.75" customHeight="1" thickBot="1" x14ac:dyDescent="0.3">
      <c r="A92" s="16"/>
      <c r="B92" s="87"/>
      <c r="C92" s="87"/>
      <c r="D92" s="87"/>
      <c r="E92" s="87"/>
      <c r="F92" s="87"/>
      <c r="G92" s="87"/>
      <c r="H92" s="17"/>
      <c r="I92" s="17"/>
      <c r="J92" s="17"/>
      <c r="K92" s="85"/>
      <c r="L92" s="85"/>
      <c r="M92" s="85"/>
      <c r="N92" s="434"/>
      <c r="O92" s="434"/>
      <c r="P92" s="434"/>
      <c r="Q92" s="434"/>
      <c r="R92" s="86"/>
      <c r="S92" s="17"/>
      <c r="T92" s="17"/>
      <c r="U92" s="52"/>
      <c r="V92" s="52"/>
      <c r="W92" s="17"/>
      <c r="X92" s="17"/>
      <c r="Y92" s="17"/>
      <c r="Z92" s="22"/>
      <c r="AA92" s="22"/>
      <c r="AB92" s="22"/>
      <c r="AC92" s="22"/>
      <c r="AD92" s="19"/>
    </row>
    <row r="93" spans="1:30" ht="30" customHeight="1" thickBot="1" x14ac:dyDescent="0.3">
      <c r="A93" s="16"/>
      <c r="B93" s="399" t="str">
        <f>IF(I4=0,"",I4)</f>
        <v/>
      </c>
      <c r="C93" s="288"/>
      <c r="D93" s="283" t="s">
        <v>283</v>
      </c>
      <c r="E93" s="87"/>
      <c r="F93" s="87"/>
      <c r="G93" s="87"/>
      <c r="H93" s="17"/>
      <c r="I93" s="119"/>
      <c r="J93" s="17"/>
      <c r="K93" s="436" t="str">
        <f>IF(Taux!L46=Taux!L44,Taux!L52,Taux!L50)</f>
        <v>Fumeur</v>
      </c>
      <c r="L93" s="437"/>
      <c r="M93" s="438"/>
      <c r="N93" s="434"/>
      <c r="O93" s="434"/>
      <c r="P93" s="434"/>
      <c r="Q93" s="434"/>
      <c r="R93" s="86"/>
      <c r="S93" s="17"/>
      <c r="T93" s="17"/>
      <c r="U93" s="52"/>
      <c r="V93" s="52"/>
      <c r="W93" s="17"/>
      <c r="X93" s="17"/>
      <c r="Y93" s="17"/>
      <c r="Z93" s="22"/>
      <c r="AA93" s="22"/>
      <c r="AB93" s="23" t="s">
        <v>268</v>
      </c>
      <c r="AC93" s="123">
        <f>AC91*26</f>
        <v>0</v>
      </c>
      <c r="AD93" s="19"/>
    </row>
    <row r="94" spans="1:30" ht="19.5" customHeight="1" x14ac:dyDescent="0.25">
      <c r="A94" s="16"/>
      <c r="B94" s="483"/>
      <c r="C94" s="483"/>
      <c r="D94" s="483"/>
      <c r="E94" s="483"/>
      <c r="F94" s="483"/>
      <c r="G94" s="483"/>
      <c r="H94" s="483"/>
      <c r="I94" s="483"/>
      <c r="J94" s="483"/>
      <c r="K94" s="483"/>
      <c r="L94" s="483"/>
      <c r="M94" s="483"/>
      <c r="N94" s="483"/>
      <c r="O94" s="483"/>
      <c r="P94" s="483"/>
      <c r="Q94" s="483"/>
      <c r="R94" s="483"/>
      <c r="S94" s="483"/>
      <c r="T94" s="483"/>
      <c r="U94" s="483"/>
      <c r="V94" s="483"/>
      <c r="W94" s="323"/>
      <c r="X94" s="17"/>
      <c r="Y94" s="17"/>
      <c r="Z94" s="17"/>
      <c r="AA94" s="17"/>
      <c r="AB94" s="17"/>
      <c r="AC94" s="327" t="str">
        <f xml:space="preserve"> IF(AC91&gt;0,"Ce cout tient compte d'un congé de prime de 50 %, mais n'inclut pas la taxe de vente de 9 %","")</f>
        <v/>
      </c>
      <c r="AD94" s="19"/>
    </row>
    <row r="95" spans="1:30" ht="3.75" customHeight="1" x14ac:dyDescent="0.25">
      <c r="A95" s="16"/>
      <c r="B95" s="112"/>
      <c r="C95" s="112"/>
      <c r="D95" s="112"/>
      <c r="E95" s="112"/>
      <c r="F95" s="112"/>
      <c r="G95" s="112"/>
      <c r="H95" s="112"/>
      <c r="I95" s="112"/>
      <c r="J95" s="112"/>
      <c r="K95" s="112"/>
      <c r="L95" s="112"/>
      <c r="M95" s="88"/>
      <c r="N95" s="88"/>
      <c r="O95" s="88"/>
      <c r="P95" s="88"/>
      <c r="Q95" s="88"/>
      <c r="R95" s="86"/>
      <c r="S95" s="489"/>
      <c r="T95" s="489"/>
      <c r="U95" s="489"/>
      <c r="V95" s="489"/>
      <c r="W95" s="489"/>
      <c r="X95" s="489"/>
      <c r="Y95" s="489"/>
      <c r="Z95" s="17"/>
      <c r="AA95" s="22"/>
      <c r="AB95" s="22"/>
      <c r="AC95" s="18"/>
      <c r="AD95" s="19"/>
    </row>
    <row r="96" spans="1:30" ht="3.75" customHeight="1" x14ac:dyDescent="0.25">
      <c r="A96" s="89"/>
      <c r="B96" s="90"/>
      <c r="C96" s="90"/>
      <c r="D96" s="90"/>
      <c r="E96" s="90"/>
      <c r="F96" s="90"/>
      <c r="G96" s="90"/>
      <c r="H96" s="90"/>
      <c r="I96" s="90"/>
      <c r="J96" s="90"/>
      <c r="K96" s="90"/>
      <c r="L96" s="90"/>
      <c r="M96" s="90"/>
      <c r="N96" s="90"/>
      <c r="O96" s="90"/>
      <c r="P96" s="90"/>
      <c r="Q96" s="90"/>
      <c r="R96" s="91"/>
      <c r="S96" s="91"/>
      <c r="T96" s="91"/>
      <c r="U96" s="91"/>
      <c r="V96" s="91"/>
      <c r="W96" s="91"/>
      <c r="X96" s="91"/>
      <c r="Y96" s="91"/>
      <c r="Z96" s="92"/>
      <c r="AA96" s="92"/>
      <c r="AB96" s="92"/>
      <c r="AC96" s="92"/>
      <c r="AD96" s="93"/>
    </row>
    <row r="97" spans="1:30" ht="30" customHeight="1" thickBot="1" x14ac:dyDescent="0.4">
      <c r="A97" s="16"/>
      <c r="B97" s="49" t="s">
        <v>22</v>
      </c>
      <c r="C97" s="49"/>
      <c r="D97" s="17"/>
      <c r="E97" s="17"/>
      <c r="F97" s="17"/>
      <c r="G97" s="17"/>
      <c r="H97" s="17"/>
      <c r="I97" s="17"/>
      <c r="J97" s="17"/>
      <c r="K97" s="17"/>
      <c r="L97" s="17"/>
      <c r="M97" s="17"/>
      <c r="N97" s="17"/>
      <c r="O97" s="17"/>
      <c r="P97" s="17"/>
      <c r="Q97" s="17"/>
      <c r="R97" s="53"/>
      <c r="S97" s="17"/>
      <c r="T97" s="17"/>
      <c r="U97" s="17"/>
      <c r="V97" s="17"/>
      <c r="W97" s="17"/>
      <c r="X97" s="17"/>
      <c r="Y97" s="17"/>
      <c r="Z97" s="22"/>
      <c r="AA97" s="22"/>
      <c r="AB97" s="22"/>
      <c r="AC97" s="22"/>
      <c r="AD97" s="19"/>
    </row>
    <row r="98" spans="1:30" ht="30" customHeight="1" thickBot="1" x14ac:dyDescent="0.4">
      <c r="A98" s="16"/>
      <c r="B98" s="20" t="s">
        <v>63</v>
      </c>
      <c r="C98" s="20"/>
      <c r="D98" s="17"/>
      <c r="E98" s="17"/>
      <c r="F98" s="17"/>
      <c r="G98" s="17"/>
      <c r="H98" s="17"/>
      <c r="I98" s="17"/>
      <c r="J98" s="17"/>
      <c r="K98" s="17"/>
      <c r="L98" s="17"/>
      <c r="M98" s="17"/>
      <c r="N98" s="17"/>
      <c r="O98" s="446" t="s">
        <v>319</v>
      </c>
      <c r="P98" s="446"/>
      <c r="Q98" s="446"/>
      <c r="R98" s="446"/>
      <c r="S98" s="446"/>
      <c r="T98" s="446"/>
      <c r="U98" s="447"/>
      <c r="V98" s="120">
        <f>Taux!R54</f>
        <v>0</v>
      </c>
      <c r="W98" s="17"/>
      <c r="X98" s="17"/>
      <c r="Y98" s="23" t="s">
        <v>106</v>
      </c>
      <c r="Z98" s="126">
        <f>IF(AND(Y101&gt;0,Y108&gt;0),0,Y101+Y108)</f>
        <v>0</v>
      </c>
      <c r="AA98" s="82"/>
      <c r="AB98" s="22"/>
      <c r="AC98" s="22"/>
      <c r="AD98" s="19"/>
    </row>
    <row r="99" spans="1:30" ht="30" customHeight="1" x14ac:dyDescent="0.35">
      <c r="A99" s="16"/>
      <c r="B99" s="20"/>
      <c r="C99" s="20"/>
      <c r="D99" s="17"/>
      <c r="E99" s="17"/>
      <c r="F99" s="17"/>
      <c r="G99" s="17"/>
      <c r="H99" s="17"/>
      <c r="I99" s="17"/>
      <c r="J99" s="17"/>
      <c r="K99" s="17"/>
      <c r="L99" s="17"/>
      <c r="M99" s="17"/>
      <c r="N99" s="17"/>
      <c r="O99" s="83"/>
      <c r="P99" s="83"/>
      <c r="Q99" s="83"/>
      <c r="R99" s="83"/>
      <c r="S99" s="83"/>
      <c r="T99" s="83"/>
      <c r="U99" s="83"/>
      <c r="V99" s="73"/>
      <c r="W99" s="17"/>
      <c r="X99" s="17"/>
      <c r="Y99" s="23"/>
      <c r="Z99" s="82"/>
      <c r="AA99" s="82"/>
      <c r="AB99" s="22"/>
      <c r="AC99" s="22"/>
      <c r="AD99" s="19"/>
    </row>
    <row r="100" spans="1:30" ht="30" customHeight="1" thickBot="1" x14ac:dyDescent="0.3">
      <c r="A100" s="16"/>
      <c r="B100" s="435" t="s">
        <v>104</v>
      </c>
      <c r="C100" s="435"/>
      <c r="D100" s="435"/>
      <c r="E100" s="435"/>
      <c r="F100" s="435"/>
      <c r="G100" s="435"/>
      <c r="H100" s="435"/>
      <c r="I100" s="17" t="s">
        <v>37</v>
      </c>
      <c r="J100" s="84"/>
      <c r="K100" s="17"/>
      <c r="L100" s="17"/>
      <c r="M100" s="17"/>
      <c r="N100" s="17"/>
      <c r="O100" s="17"/>
      <c r="P100" s="17"/>
      <c r="Q100" s="17"/>
      <c r="R100" s="465" t="s">
        <v>339</v>
      </c>
      <c r="S100" s="465"/>
      <c r="T100" s="465"/>
      <c r="U100" s="465"/>
      <c r="V100" s="465"/>
      <c r="W100" s="465"/>
      <c r="X100" s="465"/>
      <c r="Y100" s="465"/>
      <c r="Z100" s="22"/>
      <c r="AA100" s="22"/>
      <c r="AB100" s="22"/>
      <c r="AC100" s="22"/>
      <c r="AD100" s="19"/>
    </row>
    <row r="101" spans="1:30" ht="30" customHeight="1" thickBot="1" x14ac:dyDescent="0.3">
      <c r="A101" s="16"/>
      <c r="B101" s="119"/>
      <c r="C101" s="17"/>
      <c r="D101" s="436" t="str">
        <f>Taux!N37</f>
        <v>Oui</v>
      </c>
      <c r="E101" s="438"/>
      <c r="F101" s="434" t="str">
        <f>IF(COUNTBLANK(B101:B103)&lt;2,"Il ne peut y avoir qu'un seul choix de réponse",IF(COUNTBLANK(B101:B103)=3,"Vous devez faire un choix de réponse",""))</f>
        <v>Vous devez faire un choix de réponse</v>
      </c>
      <c r="G101" s="434"/>
      <c r="H101" s="434"/>
      <c r="I101" s="119"/>
      <c r="J101" s="17"/>
      <c r="K101" s="436" t="str">
        <f>Taux!N43</f>
        <v>Homme</v>
      </c>
      <c r="L101" s="437"/>
      <c r="M101" s="438"/>
      <c r="N101" s="434" t="str">
        <f>IF(ISBLANK(B101),"",IF(COUNTBLANK(I101:I103)&lt;2,"Il ne peut y avoir qu'un seul choix de réponse",IF(COUNTBLANK(I101:I103)=3,"Vous devez faire un choix de réponse","")))</f>
        <v/>
      </c>
      <c r="O101" s="434"/>
      <c r="P101" s="434"/>
      <c r="Q101" s="434"/>
      <c r="R101" s="85"/>
      <c r="S101" s="22"/>
      <c r="T101" s="22"/>
      <c r="U101" s="225"/>
      <c r="V101" s="22" t="s">
        <v>333</v>
      </c>
      <c r="W101" s="22"/>
      <c r="X101" s="22"/>
      <c r="Y101" s="126">
        <f>IF(OR(U101=1,U101=2,U101=3,U101=4,U101=5,U101=6,U101=7),U101*20000,0)</f>
        <v>0</v>
      </c>
      <c r="Z101" s="468" t="str">
        <f>IF(AND(Y101&gt;0,Y108&gt;0),"Pour effectuer un changement à votre protection, vous devez sélectionner des tranches de 25 000$ uniquement","")</f>
        <v/>
      </c>
      <c r="AA101" s="468"/>
      <c r="AB101" s="22"/>
      <c r="AC101" s="22"/>
      <c r="AD101" s="19"/>
    </row>
    <row r="102" spans="1:30" ht="3.75" customHeight="1" thickBot="1" x14ac:dyDescent="0.3">
      <c r="A102" s="16"/>
      <c r="B102" s="22"/>
      <c r="C102" s="23"/>
      <c r="D102" s="17"/>
      <c r="E102" s="17"/>
      <c r="F102" s="434"/>
      <c r="G102" s="434"/>
      <c r="H102" s="434"/>
      <c r="I102" s="17"/>
      <c r="J102" s="17"/>
      <c r="K102" s="17"/>
      <c r="L102" s="17"/>
      <c r="M102" s="17"/>
      <c r="N102" s="434"/>
      <c r="O102" s="434"/>
      <c r="P102" s="434"/>
      <c r="Q102" s="434"/>
      <c r="R102" s="86"/>
      <c r="S102" s="17"/>
      <c r="T102" s="17"/>
      <c r="U102" s="17"/>
      <c r="V102" s="17"/>
      <c r="W102" s="17"/>
      <c r="X102" s="17"/>
      <c r="Y102" s="17"/>
      <c r="Z102" s="468"/>
      <c r="AA102" s="468"/>
      <c r="AB102" s="22"/>
      <c r="AC102" s="22"/>
      <c r="AD102" s="19"/>
    </row>
    <row r="103" spans="1:30" ht="30" customHeight="1" thickBot="1" x14ac:dyDescent="0.3">
      <c r="A103" s="16"/>
      <c r="B103" s="119"/>
      <c r="C103" s="17"/>
      <c r="D103" s="436" t="str">
        <f>Taux!N38</f>
        <v>Non</v>
      </c>
      <c r="E103" s="438"/>
      <c r="F103" s="434"/>
      <c r="G103" s="434"/>
      <c r="H103" s="434"/>
      <c r="I103" s="119"/>
      <c r="J103" s="17"/>
      <c r="K103" s="436" t="str">
        <f>Taux!N44</f>
        <v>Femme</v>
      </c>
      <c r="L103" s="437"/>
      <c r="M103" s="438"/>
      <c r="N103" s="434"/>
      <c r="O103" s="434"/>
      <c r="P103" s="434"/>
      <c r="Q103" s="434"/>
      <c r="R103" s="86"/>
      <c r="S103" s="17"/>
      <c r="T103" s="17"/>
      <c r="U103" s="17"/>
      <c r="V103" s="17"/>
      <c r="W103" s="17"/>
      <c r="X103" s="17"/>
      <c r="Y103" s="17"/>
      <c r="Z103" s="468"/>
      <c r="AA103" s="468"/>
      <c r="AB103" s="22"/>
      <c r="AC103" s="22"/>
      <c r="AD103" s="19"/>
    </row>
    <row r="104" spans="1:30" ht="3.75" customHeight="1" x14ac:dyDescent="0.25">
      <c r="A104" s="16"/>
      <c r="B104" s="22"/>
      <c r="C104" s="23"/>
      <c r="D104" s="17"/>
      <c r="E104" s="17"/>
      <c r="F104" s="17"/>
      <c r="G104" s="17"/>
      <c r="H104" s="17"/>
      <c r="I104" s="17"/>
      <c r="J104" s="17"/>
      <c r="K104" s="17"/>
      <c r="L104" s="17"/>
      <c r="M104" s="17"/>
      <c r="N104" s="68"/>
      <c r="O104" s="68"/>
      <c r="P104" s="68"/>
      <c r="Q104" s="68"/>
      <c r="R104" s="86"/>
      <c r="S104" s="17"/>
      <c r="T104" s="17"/>
      <c r="U104" s="17"/>
      <c r="V104" s="17"/>
      <c r="W104" s="17"/>
      <c r="X104" s="17"/>
      <c r="Y104" s="17"/>
      <c r="Z104" s="468"/>
      <c r="AA104" s="468"/>
      <c r="AB104" s="22"/>
      <c r="AC104" s="22"/>
      <c r="AD104" s="19"/>
    </row>
    <row r="105" spans="1:30" ht="16.899999999999999" customHeight="1" x14ac:dyDescent="0.25">
      <c r="A105" s="16"/>
      <c r="B105" s="398" t="str">
        <f>IF(AND((OR(B101="x",B101="X")),NOT(OR(B74="x",B74="X"))),"Vous devez souscrire à l'assurance vie des personnes à charge pour pouvoir ajouter de l'assurance vie additionnelle","")</f>
        <v/>
      </c>
      <c r="C105" s="23"/>
      <c r="D105" s="17"/>
      <c r="E105" s="17"/>
      <c r="F105" s="17"/>
      <c r="G105" s="17"/>
      <c r="H105" s="17"/>
      <c r="I105" s="17"/>
      <c r="J105" s="17"/>
      <c r="K105" s="17"/>
      <c r="L105" s="17"/>
      <c r="M105" s="17"/>
      <c r="N105" s="68"/>
      <c r="O105" s="68"/>
      <c r="P105" s="68"/>
      <c r="Q105" s="68"/>
      <c r="R105" s="86"/>
      <c r="S105" s="17"/>
      <c r="T105" s="17"/>
      <c r="U105" s="17"/>
      <c r="V105" s="17"/>
      <c r="W105" s="17"/>
      <c r="X105" s="17"/>
      <c r="Y105" s="17"/>
      <c r="Z105" s="468"/>
      <c r="AA105" s="468"/>
      <c r="AB105" s="22"/>
      <c r="AC105" s="22"/>
      <c r="AD105" s="19"/>
    </row>
    <row r="106" spans="1:30" ht="30" customHeight="1" x14ac:dyDescent="0.25">
      <c r="A106" s="16"/>
      <c r="B106" s="17"/>
      <c r="C106" s="17"/>
      <c r="D106" s="17"/>
      <c r="E106" s="17"/>
      <c r="F106" s="17"/>
      <c r="G106" s="17"/>
      <c r="H106" s="17"/>
      <c r="I106" s="17" t="s">
        <v>37</v>
      </c>
      <c r="J106" s="17"/>
      <c r="K106" s="85"/>
      <c r="L106" s="85"/>
      <c r="M106" s="85"/>
      <c r="N106" s="68"/>
      <c r="O106" s="68"/>
      <c r="P106" s="68"/>
      <c r="Q106" s="68"/>
      <c r="R106" s="465" t="s">
        <v>340</v>
      </c>
      <c r="S106" s="465"/>
      <c r="T106" s="465"/>
      <c r="U106" s="465"/>
      <c r="V106" s="465"/>
      <c r="W106" s="465"/>
      <c r="X106" s="465"/>
      <c r="Y106" s="465"/>
      <c r="Z106" s="468"/>
      <c r="AA106" s="468"/>
      <c r="AB106" s="22"/>
      <c r="AC106" s="22"/>
      <c r="AD106" s="19"/>
    </row>
    <row r="107" spans="1:30" ht="3.75" customHeight="1" thickBot="1" x14ac:dyDescent="0.3">
      <c r="A107" s="16"/>
      <c r="B107" s="22"/>
      <c r="C107" s="23"/>
      <c r="D107" s="17"/>
      <c r="E107" s="17"/>
      <c r="F107" s="17"/>
      <c r="G107" s="17"/>
      <c r="H107" s="17"/>
      <c r="I107" s="17"/>
      <c r="J107" s="17"/>
      <c r="K107" s="17"/>
      <c r="L107" s="17"/>
      <c r="M107" s="17"/>
      <c r="N107" s="17"/>
      <c r="O107" s="17"/>
      <c r="P107" s="17"/>
      <c r="Q107" s="17"/>
      <c r="R107" s="17"/>
      <c r="S107" s="17"/>
      <c r="T107" s="17"/>
      <c r="U107" s="17"/>
      <c r="V107" s="17"/>
      <c r="W107" s="17"/>
      <c r="X107" s="17"/>
      <c r="Y107" s="17"/>
      <c r="Z107" s="22"/>
      <c r="AA107" s="22"/>
      <c r="AB107" s="22"/>
      <c r="AC107" s="22"/>
      <c r="AD107" s="19"/>
    </row>
    <row r="108" spans="1:30" ht="30" customHeight="1" thickBot="1" x14ac:dyDescent="0.3">
      <c r="A108" s="16"/>
      <c r="B108" s="435" t="s">
        <v>112</v>
      </c>
      <c r="C108" s="435"/>
      <c r="D108" s="435"/>
      <c r="E108" s="435"/>
      <c r="F108" s="435"/>
      <c r="G108" s="17"/>
      <c r="H108" s="17"/>
      <c r="I108" s="119"/>
      <c r="J108" s="17"/>
      <c r="K108" s="436" t="str">
        <f>IF(Taux!N46=Taux!N44,Taux!N51,Taux!N49)</f>
        <v>Non fumeuse</v>
      </c>
      <c r="L108" s="437"/>
      <c r="M108" s="438"/>
      <c r="N108" s="434" t="str">
        <f>IF(ISBLANK(B101),"",IF(COUNTBLANK(I108:I110)&lt;2,"Il ne peut y avoir qu'un seul choix de réponse",IF(COUNTBLANK(I108:I110)=3,"Vous devez faire un choix de réponse","")))</f>
        <v/>
      </c>
      <c r="O108" s="434"/>
      <c r="P108" s="434"/>
      <c r="Q108" s="434"/>
      <c r="R108" s="85"/>
      <c r="S108" s="22"/>
      <c r="T108" s="22"/>
      <c r="U108" s="225"/>
      <c r="V108" s="22" t="s">
        <v>315</v>
      </c>
      <c r="W108" s="22"/>
      <c r="X108" s="22"/>
      <c r="Y108" s="126">
        <f>IF(OR(U108=1,U108=2,U108=3,U108=4,U108=5,U108=6,U108=7,U108=8,U108=9,U108=10),U108*25000,0)</f>
        <v>0</v>
      </c>
      <c r="Z108" s="22"/>
      <c r="AA108" s="22"/>
      <c r="AB108" s="23" t="s">
        <v>270</v>
      </c>
      <c r="AC108" s="219">
        <f>IF(AND(F101="",N101="",N108="",Z101="",B111=""),ROUND(Z98/1000*V98,2),0)</f>
        <v>0</v>
      </c>
      <c r="AD108" s="19"/>
    </row>
    <row r="109" spans="1:30" ht="3.75" customHeight="1" thickBot="1" x14ac:dyDescent="0.3">
      <c r="A109" s="16"/>
      <c r="B109" s="87"/>
      <c r="C109" s="87"/>
      <c r="D109" s="87"/>
      <c r="E109" s="87"/>
      <c r="F109" s="87"/>
      <c r="G109" s="87"/>
      <c r="H109" s="17"/>
      <c r="I109" s="17"/>
      <c r="J109" s="17"/>
      <c r="K109" s="85"/>
      <c r="L109" s="85"/>
      <c r="M109" s="85"/>
      <c r="N109" s="434"/>
      <c r="O109" s="434"/>
      <c r="P109" s="434"/>
      <c r="Q109" s="434"/>
      <c r="R109" s="86"/>
      <c r="S109" s="17"/>
      <c r="T109" s="17"/>
      <c r="U109" s="52"/>
      <c r="V109" s="52"/>
      <c r="W109" s="17"/>
      <c r="X109" s="17"/>
      <c r="Y109" s="17"/>
      <c r="Z109" s="22"/>
      <c r="AA109" s="22"/>
      <c r="AB109" s="22"/>
      <c r="AC109" s="23"/>
      <c r="AD109" s="19"/>
    </row>
    <row r="110" spans="1:30" ht="30" customHeight="1" thickBot="1" x14ac:dyDescent="0.3">
      <c r="A110" s="16"/>
      <c r="B110" s="396"/>
      <c r="C110" s="431" t="s">
        <v>111</v>
      </c>
      <c r="D110" s="228"/>
      <c r="E110" s="87"/>
      <c r="F110" s="87"/>
      <c r="G110" s="87"/>
      <c r="H110" s="17"/>
      <c r="I110" s="119"/>
      <c r="J110" s="17"/>
      <c r="K110" s="436" t="str">
        <f>IF(Taux!N46=Taux!N44,Taux!N52,Taux!N50)</f>
        <v>Fumeuse</v>
      </c>
      <c r="L110" s="437"/>
      <c r="M110" s="438"/>
      <c r="N110" s="434"/>
      <c r="O110" s="434"/>
      <c r="P110" s="434"/>
      <c r="Q110" s="434"/>
      <c r="R110" s="86"/>
      <c r="S110" s="17"/>
      <c r="T110" s="17"/>
      <c r="U110" s="52"/>
      <c r="V110" s="52"/>
      <c r="W110" s="17"/>
      <c r="X110" s="17"/>
      <c r="Y110" s="17"/>
      <c r="Z110" s="22"/>
      <c r="AA110" s="22"/>
      <c r="AB110" s="23" t="s">
        <v>268</v>
      </c>
      <c r="AC110" s="219">
        <f>AC108*26</f>
        <v>0</v>
      </c>
      <c r="AD110" s="19"/>
    </row>
    <row r="111" spans="1:30" ht="30" customHeight="1" x14ac:dyDescent="0.25">
      <c r="A111" s="16"/>
      <c r="B111" s="483" t="str">
        <f>IF(B110&gt;=70,"À compter de 70 ans, l'assurance vie additonnelle pour la personne conjointe n'est plus disponible.","")</f>
        <v/>
      </c>
      <c r="C111" s="483"/>
      <c r="D111" s="483"/>
      <c r="E111" s="483"/>
      <c r="F111" s="483"/>
      <c r="G111" s="483"/>
      <c r="H111" s="483"/>
      <c r="I111" s="483"/>
      <c r="J111" s="483"/>
      <c r="K111" s="483"/>
      <c r="L111" s="483"/>
      <c r="M111" s="483"/>
      <c r="N111" s="483"/>
      <c r="O111" s="483"/>
      <c r="P111" s="483"/>
      <c r="Q111" s="483"/>
      <c r="R111" s="483"/>
      <c r="S111" s="483"/>
      <c r="T111" s="483"/>
      <c r="U111" s="483"/>
      <c r="V111" s="52"/>
      <c r="W111" s="52"/>
      <c r="X111" s="17"/>
      <c r="Y111" s="17"/>
      <c r="Z111" s="17"/>
      <c r="AA111" s="17"/>
      <c r="AB111" s="17"/>
      <c r="AC111" s="327" t="str">
        <f xml:space="preserve"> IF(AC108&gt;0,"Ce cout tient compte d'un congé de prime de 50 %, mais n'inclut pas la taxe de vente de 9 %","")</f>
        <v/>
      </c>
      <c r="AD111" s="19"/>
    </row>
    <row r="112" spans="1:30" ht="3.75" customHeight="1" x14ac:dyDescent="0.25">
      <c r="A112" s="54"/>
      <c r="B112" s="113"/>
      <c r="C112" s="113"/>
      <c r="D112" s="113"/>
      <c r="E112" s="113"/>
      <c r="F112" s="113"/>
      <c r="G112" s="113"/>
      <c r="H112" s="113"/>
      <c r="I112" s="113"/>
      <c r="J112" s="113"/>
      <c r="K112" s="113"/>
      <c r="L112" s="113"/>
      <c r="M112" s="94"/>
      <c r="N112" s="94"/>
      <c r="O112" s="94"/>
      <c r="P112" s="94"/>
      <c r="Q112" s="94"/>
      <c r="R112" s="95"/>
      <c r="S112" s="484"/>
      <c r="T112" s="484"/>
      <c r="U112" s="484"/>
      <c r="V112" s="484"/>
      <c r="W112" s="484"/>
      <c r="X112" s="484"/>
      <c r="Y112" s="484"/>
      <c r="Z112" s="96"/>
      <c r="AA112" s="56"/>
      <c r="AB112" s="97"/>
      <c r="AC112" s="98"/>
      <c r="AD112" s="99"/>
    </row>
    <row r="113" spans="1:32" ht="30" customHeight="1" thickBot="1" x14ac:dyDescent="0.3">
      <c r="A113" s="25"/>
      <c r="B113" s="100" t="s">
        <v>271</v>
      </c>
      <c r="C113" s="100"/>
      <c r="D113" s="27"/>
      <c r="E113" s="27"/>
      <c r="F113" s="27"/>
      <c r="G113" s="27"/>
      <c r="H113" s="27"/>
      <c r="I113" s="27"/>
      <c r="J113" s="474" t="s">
        <v>358</v>
      </c>
      <c r="K113" s="475"/>
      <c r="L113" s="475"/>
      <c r="M113" s="475"/>
      <c r="N113" s="475"/>
      <c r="O113" s="475"/>
      <c r="P113" s="475"/>
      <c r="Q113" s="475"/>
      <c r="R113" s="475"/>
      <c r="S113" s="475"/>
      <c r="T113" s="475"/>
      <c r="U113" s="475"/>
      <c r="V113" s="475"/>
      <c r="W113" s="475"/>
      <c r="X113" s="476"/>
      <c r="Y113" s="101"/>
      <c r="Z113" s="28"/>
      <c r="AA113" s="28"/>
      <c r="AB113" s="28"/>
      <c r="AC113" s="28"/>
      <c r="AD113" s="29"/>
    </row>
    <row r="114" spans="1:32" ht="30" customHeight="1" thickBot="1" x14ac:dyDescent="0.3">
      <c r="A114" s="30"/>
      <c r="B114" s="102"/>
      <c r="C114" s="102"/>
      <c r="D114" s="33"/>
      <c r="E114" s="33"/>
      <c r="F114" s="33"/>
      <c r="G114" s="33"/>
      <c r="H114" s="33"/>
      <c r="I114" s="33"/>
      <c r="J114" s="477"/>
      <c r="K114" s="478"/>
      <c r="L114" s="478"/>
      <c r="M114" s="478"/>
      <c r="N114" s="478"/>
      <c r="O114" s="478"/>
      <c r="P114" s="478"/>
      <c r="Q114" s="478"/>
      <c r="R114" s="478"/>
      <c r="S114" s="478"/>
      <c r="T114" s="478"/>
      <c r="U114" s="478"/>
      <c r="V114" s="478"/>
      <c r="W114" s="478"/>
      <c r="X114" s="479"/>
      <c r="Y114" s="103"/>
      <c r="Z114" s="34"/>
      <c r="AA114" s="34"/>
      <c r="AB114" s="40" t="s">
        <v>270</v>
      </c>
      <c r="AC114" s="217">
        <f>AC108+AC91+AC74+AC66+AC50+AC37+AC23+AC11</f>
        <v>0</v>
      </c>
      <c r="AD114" s="35"/>
    </row>
    <row r="115" spans="1:32" ht="30" customHeight="1" thickBot="1" x14ac:dyDescent="0.3">
      <c r="A115" s="30"/>
      <c r="B115" s="33"/>
      <c r="C115" s="33"/>
      <c r="D115" s="33"/>
      <c r="E115" s="33"/>
      <c r="F115" s="33"/>
      <c r="G115" s="104"/>
      <c r="H115" s="104"/>
      <c r="I115" s="33"/>
      <c r="J115" s="480"/>
      <c r="K115" s="481"/>
      <c r="L115" s="481"/>
      <c r="M115" s="481"/>
      <c r="N115" s="481"/>
      <c r="O115" s="481"/>
      <c r="P115" s="481"/>
      <c r="Q115" s="481"/>
      <c r="R115" s="481"/>
      <c r="S115" s="481"/>
      <c r="T115" s="481"/>
      <c r="U115" s="481"/>
      <c r="V115" s="481"/>
      <c r="W115" s="481"/>
      <c r="X115" s="482"/>
      <c r="Y115" s="103"/>
      <c r="Z115" s="34"/>
      <c r="AA115" s="34"/>
      <c r="AB115" s="40" t="s">
        <v>343</v>
      </c>
      <c r="AC115" s="217">
        <f>ROUND(AC114*0.09,2)</f>
        <v>0</v>
      </c>
      <c r="AD115" s="35"/>
      <c r="AF115" s="105"/>
    </row>
    <row r="116" spans="1:32" ht="30" customHeight="1" thickBot="1" x14ac:dyDescent="0.3">
      <c r="A116" s="30"/>
      <c r="B116" s="33"/>
      <c r="C116" s="33"/>
      <c r="D116" s="33"/>
      <c r="E116" s="33"/>
      <c r="F116" s="33"/>
      <c r="G116" s="104"/>
      <c r="H116" s="104"/>
      <c r="I116" s="33"/>
      <c r="J116" s="33"/>
      <c r="K116" s="33"/>
      <c r="L116" s="33"/>
      <c r="M116" s="33"/>
      <c r="N116" s="33"/>
      <c r="O116" s="33"/>
      <c r="P116" s="33"/>
      <c r="Q116" s="33"/>
      <c r="R116" s="33"/>
      <c r="S116" s="33"/>
      <c r="T116" s="33"/>
      <c r="U116" s="33"/>
      <c r="V116" s="33"/>
      <c r="W116" s="33"/>
      <c r="X116" s="33"/>
      <c r="Y116" s="33"/>
      <c r="Z116" s="34"/>
      <c r="AA116" s="34"/>
      <c r="AB116" s="40" t="s">
        <v>272</v>
      </c>
      <c r="AC116" s="121">
        <f>AC114+AC115</f>
        <v>0</v>
      </c>
      <c r="AD116" s="35"/>
      <c r="AF116" s="105"/>
    </row>
    <row r="117" spans="1:32" ht="15" customHeight="1" thickBot="1" x14ac:dyDescent="0.3">
      <c r="A117" s="30"/>
      <c r="B117" s="33"/>
      <c r="C117" s="33"/>
      <c r="D117" s="33"/>
      <c r="E117" s="33"/>
      <c r="F117" s="33"/>
      <c r="G117" s="104"/>
      <c r="H117" s="104"/>
      <c r="I117" s="33"/>
      <c r="J117" s="33"/>
      <c r="K117" s="33"/>
      <c r="L117" s="33"/>
      <c r="M117" s="33"/>
      <c r="N117" s="33"/>
      <c r="O117" s="33"/>
      <c r="P117" s="33"/>
      <c r="Q117" s="33"/>
      <c r="R117" s="33"/>
      <c r="S117" s="33"/>
      <c r="T117" s="33"/>
      <c r="U117" s="33"/>
      <c r="V117" s="33"/>
      <c r="W117" s="33"/>
      <c r="X117" s="33"/>
      <c r="Y117" s="33"/>
      <c r="Z117" s="34"/>
      <c r="AA117" s="34"/>
      <c r="AB117" s="34"/>
      <c r="AC117" s="125"/>
      <c r="AD117" s="35"/>
      <c r="AF117" s="105"/>
    </row>
    <row r="118" spans="1:32" ht="30" customHeight="1" thickBot="1" x14ac:dyDescent="0.3">
      <c r="A118" s="30"/>
      <c r="B118" s="33"/>
      <c r="C118" s="33"/>
      <c r="D118" s="33"/>
      <c r="E118" s="33"/>
      <c r="F118" s="33"/>
      <c r="G118" s="104"/>
      <c r="H118" s="104"/>
      <c r="I118" s="33"/>
      <c r="J118" s="33"/>
      <c r="K118" s="33"/>
      <c r="L118" s="33"/>
      <c r="M118" s="33"/>
      <c r="N118" s="33"/>
      <c r="O118" s="33"/>
      <c r="P118" s="33"/>
      <c r="Q118" s="33"/>
      <c r="R118" s="33"/>
      <c r="S118" s="33"/>
      <c r="T118" s="33"/>
      <c r="U118" s="33"/>
      <c r="V118" s="33"/>
      <c r="W118" s="33"/>
      <c r="X118" s="33"/>
      <c r="Y118" s="33"/>
      <c r="Z118" s="34"/>
      <c r="AA118" s="34"/>
      <c r="AB118" s="106" t="s">
        <v>107</v>
      </c>
      <c r="AC118" s="226">
        <v>0</v>
      </c>
      <c r="AD118" s="107"/>
      <c r="AF118" s="105"/>
    </row>
    <row r="119" spans="1:32" ht="15" customHeight="1" thickBot="1" x14ac:dyDescent="0.3">
      <c r="A119" s="30"/>
      <c r="B119" s="33"/>
      <c r="C119" s="33"/>
      <c r="D119" s="33"/>
      <c r="E119" s="33"/>
      <c r="F119" s="33"/>
      <c r="G119" s="104"/>
      <c r="H119" s="104"/>
      <c r="I119" s="33"/>
      <c r="J119" s="33"/>
      <c r="K119" s="33"/>
      <c r="L119" s="33"/>
      <c r="M119" s="33"/>
      <c r="N119" s="33"/>
      <c r="O119" s="33"/>
      <c r="P119" s="33"/>
      <c r="Q119" s="33"/>
      <c r="R119" s="33"/>
      <c r="S119" s="33"/>
      <c r="T119" s="33"/>
      <c r="U119" s="33"/>
      <c r="V119" s="33"/>
      <c r="W119" s="33"/>
      <c r="X119" s="33"/>
      <c r="Y119" s="33"/>
      <c r="Z119" s="34"/>
      <c r="AA119" s="34"/>
      <c r="AB119" s="108"/>
      <c r="AC119" s="125"/>
      <c r="AD119" s="35"/>
      <c r="AF119" s="105"/>
    </row>
    <row r="120" spans="1:32" ht="29.25" customHeight="1" thickBot="1" x14ac:dyDescent="0.3">
      <c r="A120" s="30"/>
      <c r="B120" s="33"/>
      <c r="C120" s="33"/>
      <c r="D120" s="33"/>
      <c r="E120" s="33"/>
      <c r="F120" s="33"/>
      <c r="G120" s="104"/>
      <c r="H120" s="104"/>
      <c r="I120" s="33"/>
      <c r="J120" s="33"/>
      <c r="K120" s="33"/>
      <c r="L120" s="33"/>
      <c r="M120" s="33"/>
      <c r="N120" s="33"/>
      <c r="O120" s="33"/>
      <c r="P120" s="33"/>
      <c r="Q120" s="33"/>
      <c r="R120" s="33"/>
      <c r="S120" s="33"/>
      <c r="T120" s="33"/>
      <c r="U120" s="33"/>
      <c r="V120" s="33"/>
      <c r="W120" s="33"/>
      <c r="X120" s="33"/>
      <c r="Y120" s="33"/>
      <c r="Z120" s="34"/>
      <c r="AA120" s="34"/>
      <c r="AB120" s="109" t="s">
        <v>344</v>
      </c>
      <c r="AC120" s="227">
        <f>AC116-AC118</f>
        <v>0</v>
      </c>
      <c r="AD120" s="35"/>
    </row>
    <row r="121" spans="1:32" ht="3.75" customHeight="1" thickBot="1" x14ac:dyDescent="0.3">
      <c r="A121" s="30"/>
      <c r="B121" s="33"/>
      <c r="C121" s="33"/>
      <c r="D121" s="33"/>
      <c r="E121" s="33"/>
      <c r="F121" s="33"/>
      <c r="G121" s="104"/>
      <c r="H121" s="104"/>
      <c r="I121" s="33"/>
      <c r="J121" s="33"/>
      <c r="K121" s="33"/>
      <c r="L121" s="33"/>
      <c r="M121" s="33"/>
      <c r="N121" s="33"/>
      <c r="O121" s="33"/>
      <c r="P121" s="33"/>
      <c r="Q121" s="33"/>
      <c r="R121" s="33"/>
      <c r="S121" s="33"/>
      <c r="T121" s="33"/>
      <c r="U121" s="33"/>
      <c r="V121" s="33"/>
      <c r="W121" s="33"/>
      <c r="X121" s="33"/>
      <c r="Y121" s="33"/>
      <c r="Z121" s="34"/>
      <c r="AA121" s="34"/>
      <c r="AB121" s="34"/>
      <c r="AC121" s="40"/>
      <c r="AD121" s="35"/>
    </row>
    <row r="122" spans="1:32" ht="30" customHeight="1" thickBot="1" x14ac:dyDescent="0.3">
      <c r="A122" s="30"/>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4"/>
      <c r="AA122" s="34"/>
      <c r="AB122" s="109" t="s">
        <v>345</v>
      </c>
      <c r="AC122" s="227">
        <f>26*AC120</f>
        <v>0</v>
      </c>
      <c r="AD122" s="35"/>
    </row>
    <row r="123" spans="1:32" ht="3.75" customHeight="1" x14ac:dyDescent="0.25">
      <c r="A123" s="44"/>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6"/>
      <c r="AA123" s="46"/>
      <c r="AB123" s="46"/>
      <c r="AC123" s="46"/>
      <c r="AD123" s="47"/>
    </row>
    <row r="124" spans="1:32" ht="21" customHeight="1" x14ac:dyDescent="0.25"/>
    <row r="125" spans="1:32" ht="21" customHeight="1" x14ac:dyDescent="0.25"/>
    <row r="126" spans="1:32" ht="21" customHeight="1" x14ac:dyDescent="0.25"/>
    <row r="127" spans="1:32" ht="21" customHeight="1" x14ac:dyDescent="0.25"/>
    <row r="128" spans="1:32" ht="21" customHeight="1" x14ac:dyDescent="0.25"/>
    <row r="129" ht="21" customHeight="1" x14ac:dyDescent="0.25"/>
    <row r="130" ht="21" customHeight="1" x14ac:dyDescent="0.25"/>
    <row r="131" ht="21" customHeight="1" x14ac:dyDescent="0.25"/>
    <row r="132" ht="21" customHeight="1" x14ac:dyDescent="0.25"/>
    <row r="133" ht="21" customHeight="1" x14ac:dyDescent="0.25"/>
  </sheetData>
  <sheetProtection sheet="1"/>
  <protectedRanges>
    <protectedRange password="C3A2" sqref="I4 Q4 U4 B9 B11 B13 B15 Q9 Q11 Q13 Q15 B19 B21 B23 B35 B37 B39 V35 B48 B50 V50 Q57 Q59 V61 B61 B63 B74 B76 B84 B86 I84 I86 U84 U91 I91 I93 B101 B103 I101 I103 U101 U108 I108 I110 B110 AC118 B41 B43" name="Reponses"/>
  </protectedRanges>
  <mergeCells count="88">
    <mergeCell ref="B94:V94"/>
    <mergeCell ref="D68:J68"/>
    <mergeCell ref="Z84:AA89"/>
    <mergeCell ref="N84:Q86"/>
    <mergeCell ref="R83:Y83"/>
    <mergeCell ref="R89:Y89"/>
    <mergeCell ref="Z101:AA106"/>
    <mergeCell ref="R106:Y106"/>
    <mergeCell ref="N101:Q103"/>
    <mergeCell ref="S95:Y95"/>
    <mergeCell ref="B100:H100"/>
    <mergeCell ref="R100:Y100"/>
    <mergeCell ref="K101:M101"/>
    <mergeCell ref="K103:M103"/>
    <mergeCell ref="O98:U98"/>
    <mergeCell ref="D101:E101"/>
    <mergeCell ref="F101:H103"/>
    <mergeCell ref="D103:E103"/>
    <mergeCell ref="D63:E63"/>
    <mergeCell ref="O81:U81"/>
    <mergeCell ref="N91:Q93"/>
    <mergeCell ref="K91:M91"/>
    <mergeCell ref="K93:M93"/>
    <mergeCell ref="K84:M84"/>
    <mergeCell ref="K86:M86"/>
    <mergeCell ref="D76:E76"/>
    <mergeCell ref="U76:W76"/>
    <mergeCell ref="F74:K76"/>
    <mergeCell ref="F84:H86"/>
    <mergeCell ref="D84:E84"/>
    <mergeCell ref="D86:E86"/>
    <mergeCell ref="B91:D91"/>
    <mergeCell ref="W63:Y63"/>
    <mergeCell ref="J113:X115"/>
    <mergeCell ref="K108:M108"/>
    <mergeCell ref="K110:M110"/>
    <mergeCell ref="N108:Q110"/>
    <mergeCell ref="B111:U111"/>
    <mergeCell ref="B108:F108"/>
    <mergeCell ref="S112:Y112"/>
    <mergeCell ref="W19:AB21"/>
    <mergeCell ref="S11:V11"/>
    <mergeCell ref="S13:V13"/>
    <mergeCell ref="S15:V15"/>
    <mergeCell ref="D11:L11"/>
    <mergeCell ref="D13:L13"/>
    <mergeCell ref="S19:V19"/>
    <mergeCell ref="D21:L21"/>
    <mergeCell ref="V1:Y2"/>
    <mergeCell ref="B1:B2"/>
    <mergeCell ref="D1:U2"/>
    <mergeCell ref="D9:L9"/>
    <mergeCell ref="B8:M8"/>
    <mergeCell ref="S9:V9"/>
    <mergeCell ref="L4:P4"/>
    <mergeCell ref="M9:O15"/>
    <mergeCell ref="W9:X15"/>
    <mergeCell ref="D15:L15"/>
    <mergeCell ref="D23:L23"/>
    <mergeCell ref="M19:O23"/>
    <mergeCell ref="D19:L19"/>
    <mergeCell ref="D48:E48"/>
    <mergeCell ref="D50:E50"/>
    <mergeCell ref="D43:N43"/>
    <mergeCell ref="O37:Q41"/>
    <mergeCell ref="D37:N37"/>
    <mergeCell ref="B30:M31"/>
    <mergeCell ref="N47:U47"/>
    <mergeCell ref="N30:U30"/>
    <mergeCell ref="D41:N41"/>
    <mergeCell ref="D35:N35"/>
    <mergeCell ref="D25:Q25"/>
    <mergeCell ref="X57:Y59"/>
    <mergeCell ref="L66:L70"/>
    <mergeCell ref="F61:H63"/>
    <mergeCell ref="B83:H83"/>
    <mergeCell ref="D39:N39"/>
    <mergeCell ref="S57:W57"/>
    <mergeCell ref="S59:W59"/>
    <mergeCell ref="D66:K66"/>
    <mergeCell ref="F48:K50"/>
    <mergeCell ref="B52:Q52"/>
    <mergeCell ref="B53:Q53"/>
    <mergeCell ref="D61:E61"/>
    <mergeCell ref="D65:K65"/>
    <mergeCell ref="N68:U68"/>
    <mergeCell ref="N70:U70"/>
    <mergeCell ref="D74:E74"/>
  </mergeCells>
  <conditionalFormatting sqref="Q4">
    <cfRule type="expression" dxfId="5" priority="1">
      <formula>"$Q$4=""X"""</formula>
    </cfRule>
    <cfRule type="expression" dxfId="4" priority="2">
      <formula>$I$4&gt;=65</formula>
    </cfRule>
  </conditionalFormatting>
  <conditionalFormatting sqref="U4">
    <cfRule type="expression" dxfId="3" priority="4">
      <formula>$I$4&gt;=65</formula>
    </cfRule>
  </conditionalFormatting>
  <pageMargins left="0.7" right="0.7" top="0.75" bottom="0.75" header="0.3" footer="0.3"/>
  <pageSetup paperSize="5" scale="3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80000"/>
  </sheetPr>
  <dimension ref="A1:AE122"/>
  <sheetViews>
    <sheetView showGridLines="0" zoomScaleNormal="100" workbookViewId="0">
      <selection activeCell="F5" sqref="F5"/>
    </sheetView>
  </sheetViews>
  <sheetFormatPr baseColWidth="10" defaultRowHeight="15" x14ac:dyDescent="0.25"/>
  <cols>
    <col min="1" max="1" width="2.5703125" customWidth="1"/>
    <col min="2" max="2" width="4.28515625" customWidth="1"/>
    <col min="3" max="3" width="0.7109375" customWidth="1"/>
    <col min="4" max="5" width="2.140625" customWidth="1"/>
    <col min="6" max="6" width="5" customWidth="1"/>
    <col min="7" max="7" width="5.7109375" customWidth="1"/>
    <col min="8" max="8" width="2" customWidth="1"/>
    <col min="9" max="9" width="4.140625" customWidth="1"/>
    <col min="10" max="10" width="1.5703125" customWidth="1"/>
    <col min="11" max="11" width="6.7109375" customWidth="1"/>
    <col min="12" max="12" width="24.140625" customWidth="1"/>
    <col min="13" max="13" width="6.28515625" customWidth="1"/>
    <col min="14" max="14" width="3.5703125" customWidth="1"/>
    <col min="15" max="15" width="4.7109375" customWidth="1"/>
    <col min="16" max="16" width="5.42578125" customWidth="1"/>
    <col min="17" max="17" width="4.28515625" customWidth="1"/>
    <col min="18" max="18" width="0.7109375" customWidth="1"/>
    <col min="19" max="19" width="5.7109375" customWidth="1"/>
    <col min="20" max="20" width="4.5703125" customWidth="1"/>
    <col min="21" max="21" width="4.85546875" customWidth="1"/>
    <col min="22" max="22" width="15.5703125" customWidth="1"/>
    <col min="23" max="23" width="23" customWidth="1"/>
    <col min="24" max="24" width="13.28515625" customWidth="1"/>
    <col min="25" max="25" width="12.140625" customWidth="1"/>
    <col min="27" max="27" width="11.5703125" customWidth="1"/>
    <col min="28" max="28" width="18.28515625" customWidth="1"/>
    <col min="29" max="29" width="2.28515625" customWidth="1"/>
  </cols>
  <sheetData>
    <row r="1" spans="1:31" ht="121.5" customHeight="1" x14ac:dyDescent="0.25">
      <c r="B1" s="491"/>
      <c r="C1" s="400"/>
      <c r="D1" s="492"/>
      <c r="E1" s="492"/>
      <c r="F1" s="492"/>
      <c r="G1" s="492"/>
      <c r="H1" s="492"/>
      <c r="I1" s="492"/>
      <c r="J1" s="492"/>
      <c r="K1" s="492"/>
      <c r="L1" s="492"/>
      <c r="M1" s="492"/>
      <c r="N1" s="492"/>
      <c r="O1" s="492"/>
      <c r="P1" s="492"/>
      <c r="Q1" s="492"/>
      <c r="R1" s="492"/>
      <c r="S1" s="492"/>
      <c r="T1" s="492"/>
      <c r="U1" s="491"/>
      <c r="V1" s="491"/>
      <c r="W1" s="491"/>
      <c r="X1" s="491"/>
      <c r="AD1" s="307"/>
    </row>
    <row r="2" spans="1:31" ht="39.75" customHeight="1" x14ac:dyDescent="0.35">
      <c r="A2" s="117"/>
      <c r="B2" s="462"/>
      <c r="C2" s="12"/>
      <c r="D2" s="464"/>
      <c r="E2" s="464"/>
      <c r="F2" s="464"/>
      <c r="G2" s="464"/>
      <c r="H2" s="464"/>
      <c r="I2" s="464"/>
      <c r="J2" s="464"/>
      <c r="K2" s="464"/>
      <c r="L2" s="464"/>
      <c r="M2" s="464"/>
      <c r="N2" s="464"/>
      <c r="O2" s="464"/>
      <c r="P2" s="464"/>
      <c r="Q2" s="464"/>
      <c r="R2" s="464"/>
      <c r="S2" s="464"/>
      <c r="T2" s="464"/>
      <c r="U2" s="462"/>
      <c r="V2" s="462"/>
      <c r="W2" s="462"/>
      <c r="X2" s="462"/>
      <c r="Y2" s="117"/>
      <c r="Z2" s="117"/>
      <c r="AA2" s="117"/>
      <c r="AB2" s="117"/>
      <c r="AC2" s="117"/>
      <c r="AE2" s="308"/>
    </row>
    <row r="3" spans="1:31" ht="27.75" customHeight="1" thickBot="1" x14ac:dyDescent="0.4">
      <c r="A3" s="299"/>
      <c r="B3" s="49" t="s">
        <v>123</v>
      </c>
      <c r="C3" s="49"/>
      <c r="D3" s="49"/>
      <c r="E3" s="49"/>
      <c r="F3" s="17"/>
      <c r="G3" s="17"/>
      <c r="H3" s="17"/>
      <c r="I3" s="17"/>
      <c r="J3" s="17"/>
      <c r="K3" s="17"/>
      <c r="L3" s="17"/>
      <c r="M3" s="17"/>
      <c r="N3" s="17"/>
      <c r="O3" s="17"/>
      <c r="P3" s="17"/>
      <c r="Q3" s="402" t="str">
        <f>IF(I4&gt;=65,IF(COUNTBLANK(Q4:U4)&lt;3,"You can't choose more than one answer",IF(COUNTBLANK(Q4:U4)=4,"Write an X beside your choice and erase the other one","")),"")</f>
        <v/>
      </c>
      <c r="R3" s="17"/>
      <c r="S3" s="293"/>
      <c r="T3" s="293"/>
      <c r="U3" s="293"/>
      <c r="V3" s="17"/>
      <c r="W3" s="17"/>
      <c r="X3" s="17"/>
      <c r="Y3" s="17"/>
      <c r="Z3" s="17"/>
      <c r="AA3" s="17"/>
      <c r="AB3" s="17"/>
      <c r="AC3" s="19"/>
    </row>
    <row r="4" spans="1:31" ht="22.9" customHeight="1" thickBot="1" x14ac:dyDescent="0.4">
      <c r="A4" s="299"/>
      <c r="B4" s="17"/>
      <c r="C4" s="20"/>
      <c r="D4" s="21"/>
      <c r="E4" s="17"/>
      <c r="F4" s="17"/>
      <c r="G4" s="17"/>
      <c r="H4" s="289" t="s">
        <v>286</v>
      </c>
      <c r="I4" s="304"/>
      <c r="J4" s="288" t="s">
        <v>287</v>
      </c>
      <c r="K4" s="290"/>
      <c r="L4" s="466" t="str">
        <f>IF(I4&gt;=65,"Are you registered with the RMAQ ? ","")</f>
        <v/>
      </c>
      <c r="M4" s="467"/>
      <c r="N4" s="467"/>
      <c r="O4" s="467"/>
      <c r="P4" s="467"/>
      <c r="Q4" s="292"/>
      <c r="R4" s="286" t="str">
        <f>IF(I4&gt;=65,"Yes","")</f>
        <v/>
      </c>
      <c r="S4" s="294"/>
      <c r="T4" s="17"/>
      <c r="U4" s="292"/>
      <c r="V4" s="286" t="str">
        <f>IF(I4&gt;=65,"No","")</f>
        <v/>
      </c>
      <c r="W4" s="17"/>
      <c r="X4" s="17"/>
      <c r="Y4" s="17"/>
      <c r="Z4" s="17"/>
      <c r="AA4" s="17"/>
      <c r="AB4" s="17"/>
      <c r="AC4" s="19"/>
    </row>
    <row r="5" spans="1:31" ht="21" x14ac:dyDescent="0.35">
      <c r="A5" s="16"/>
      <c r="B5" s="17"/>
      <c r="C5" s="49"/>
      <c r="D5" s="49"/>
      <c r="E5" s="49"/>
      <c r="F5" s="17"/>
      <c r="G5" s="17"/>
      <c r="H5" s="17"/>
      <c r="I5" s="17"/>
      <c r="J5" s="17"/>
      <c r="K5" s="17"/>
      <c r="L5" s="17"/>
      <c r="M5" s="17"/>
      <c r="N5" s="17"/>
      <c r="O5" s="17"/>
      <c r="P5" s="17"/>
      <c r="Q5" s="287" t="str">
        <f>IF(I4&gt;=65,"",IF(AND(I4&lt;65,U4="",Q4=""),"","Erace the X obove"))</f>
        <v/>
      </c>
      <c r="R5" s="17"/>
      <c r="S5" s="17"/>
      <c r="T5" s="17"/>
      <c r="U5" s="17"/>
      <c r="V5" s="17"/>
      <c r="W5" s="17"/>
      <c r="X5" s="17"/>
      <c r="Y5" s="17"/>
      <c r="Z5" s="17"/>
      <c r="AA5" s="17"/>
      <c r="AB5" s="17"/>
      <c r="AC5" s="19"/>
    </row>
    <row r="6" spans="1:31" ht="15.75" customHeight="1" thickBot="1" x14ac:dyDescent="0.3">
      <c r="A6" s="16"/>
      <c r="B6" s="381" t="s">
        <v>308</v>
      </c>
      <c r="C6" s="381"/>
      <c r="D6" s="381"/>
      <c r="E6" s="381"/>
      <c r="F6" s="381"/>
      <c r="G6" s="381"/>
      <c r="H6" s="381"/>
      <c r="I6" s="381"/>
      <c r="J6" s="381"/>
      <c r="K6" s="381"/>
      <c r="L6" s="381"/>
      <c r="M6" s="381"/>
      <c r="N6" s="381"/>
      <c r="O6" s="381"/>
      <c r="P6" s="17"/>
      <c r="Q6" s="364" t="s">
        <v>124</v>
      </c>
      <c r="R6" s="17"/>
      <c r="S6" s="17"/>
      <c r="T6" s="17"/>
      <c r="U6" s="17"/>
      <c r="V6" s="17"/>
      <c r="W6" s="17"/>
      <c r="X6" s="17"/>
      <c r="Y6" s="17"/>
      <c r="Z6" s="17"/>
      <c r="AA6" s="18"/>
      <c r="AB6" s="18"/>
      <c r="AC6" s="19"/>
    </row>
    <row r="7" spans="1:31" ht="21.75" customHeight="1" thickBot="1" x14ac:dyDescent="0.4">
      <c r="A7" s="16"/>
      <c r="B7" s="119"/>
      <c r="C7" s="20"/>
      <c r="D7" s="436" t="s">
        <v>125</v>
      </c>
      <c r="E7" s="437"/>
      <c r="F7" s="437"/>
      <c r="G7" s="437"/>
      <c r="H7" s="437"/>
      <c r="I7" s="437"/>
      <c r="J7" s="437"/>
      <c r="K7" s="437"/>
      <c r="L7" s="438"/>
      <c r="M7" s="468" t="str">
        <f>IF(COUNTBLANK(B7:B13)&lt;6,"You can't choose more than one answer",IF(COUNTBLANK(B7:B13)=7,"You have to choose an answer",""))</f>
        <v>You have to choose an answer</v>
      </c>
      <c r="N7" s="468"/>
      <c r="O7" s="468"/>
      <c r="P7" s="17"/>
      <c r="Q7" s="119"/>
      <c r="R7" s="17"/>
      <c r="S7" s="436" t="s">
        <v>126</v>
      </c>
      <c r="T7" s="437"/>
      <c r="U7" s="438"/>
      <c r="V7" s="468" t="str">
        <f>IF(AND(A13="X",OR(COUNTIF(Q7:Q13,"X")=0,COUNTIF(Q7:Q13,"X")=1)),"",IF(COUNTIF(Q7:Q13,"X")&gt;1,"You can't choose more than one answer",IF(COUNTBLANK(Q7:Q13)=7,"You have to choose a coverage status","")))</f>
        <v>You have to choose a coverage status</v>
      </c>
      <c r="W7" s="468"/>
      <c r="X7" s="17"/>
      <c r="Y7" s="18"/>
      <c r="Z7" s="22"/>
      <c r="AA7" s="18"/>
      <c r="AB7" s="18"/>
      <c r="AC7" s="19"/>
    </row>
    <row r="8" spans="1:31" ht="4.5" customHeight="1" thickBot="1" x14ac:dyDescent="0.4">
      <c r="A8" s="16"/>
      <c r="B8" s="200"/>
      <c r="C8" s="20"/>
      <c r="D8" s="21"/>
      <c r="E8" s="21"/>
      <c r="F8" s="21"/>
      <c r="G8" s="21"/>
      <c r="H8" s="21"/>
      <c r="I8" s="21"/>
      <c r="J8" s="21"/>
      <c r="K8" s="21"/>
      <c r="L8" s="21"/>
      <c r="M8" s="468"/>
      <c r="N8" s="468"/>
      <c r="O8" s="468"/>
      <c r="P8" s="17"/>
      <c r="Q8" s="201"/>
      <c r="R8" s="17"/>
      <c r="S8" s="21"/>
      <c r="T8" s="21"/>
      <c r="U8" s="21"/>
      <c r="V8" s="468"/>
      <c r="W8" s="468"/>
      <c r="X8" s="17"/>
      <c r="Y8" s="18"/>
      <c r="Z8" s="22"/>
      <c r="AA8" s="18"/>
      <c r="AB8" s="18"/>
      <c r="AC8" s="19"/>
    </row>
    <row r="9" spans="1:31" ht="21.75" customHeight="1" thickBot="1" x14ac:dyDescent="0.4">
      <c r="A9" s="16"/>
      <c r="B9" s="119"/>
      <c r="C9" s="20"/>
      <c r="D9" s="436" t="s">
        <v>127</v>
      </c>
      <c r="E9" s="437"/>
      <c r="F9" s="437"/>
      <c r="G9" s="437"/>
      <c r="H9" s="437"/>
      <c r="I9" s="437"/>
      <c r="J9" s="437"/>
      <c r="K9" s="437"/>
      <c r="L9" s="438"/>
      <c r="M9" s="468"/>
      <c r="N9" s="468"/>
      <c r="O9" s="468"/>
      <c r="P9" s="17"/>
      <c r="Q9" s="119"/>
      <c r="R9" s="17"/>
      <c r="S9" s="436" t="s">
        <v>128</v>
      </c>
      <c r="T9" s="437"/>
      <c r="U9" s="438"/>
      <c r="V9" s="468"/>
      <c r="W9" s="468"/>
      <c r="X9" s="17"/>
      <c r="Y9" s="18"/>
      <c r="Z9" s="18"/>
      <c r="AA9" s="18"/>
      <c r="AB9" s="18"/>
      <c r="AC9" s="19"/>
    </row>
    <row r="10" spans="1:31" ht="4.5" customHeight="1" thickBot="1" x14ac:dyDescent="0.4">
      <c r="A10" s="16"/>
      <c r="B10" s="200"/>
      <c r="C10" s="20"/>
      <c r="D10" s="21"/>
      <c r="E10" s="21"/>
      <c r="F10" s="21"/>
      <c r="G10" s="21"/>
      <c r="H10" s="21"/>
      <c r="I10" s="21"/>
      <c r="J10" s="21"/>
      <c r="K10" s="21"/>
      <c r="L10" s="21"/>
      <c r="M10" s="468"/>
      <c r="N10" s="468"/>
      <c r="O10" s="468"/>
      <c r="P10" s="17"/>
      <c r="Q10" s="201"/>
      <c r="R10" s="17"/>
      <c r="S10" s="21"/>
      <c r="T10" s="21"/>
      <c r="U10" s="21"/>
      <c r="V10" s="468"/>
      <c r="W10" s="468"/>
      <c r="X10" s="17"/>
      <c r="Y10" s="18"/>
      <c r="Z10" s="18"/>
      <c r="AA10" s="18"/>
      <c r="AB10" s="18"/>
      <c r="AC10" s="19"/>
    </row>
    <row r="11" spans="1:31" ht="21.75" customHeight="1" thickBot="1" x14ac:dyDescent="0.4">
      <c r="A11" s="16"/>
      <c r="B11" s="119"/>
      <c r="C11" s="20"/>
      <c r="D11" s="436" t="s">
        <v>129</v>
      </c>
      <c r="E11" s="437"/>
      <c r="F11" s="437"/>
      <c r="G11" s="437"/>
      <c r="H11" s="437"/>
      <c r="I11" s="437"/>
      <c r="J11" s="437"/>
      <c r="K11" s="437"/>
      <c r="L11" s="438"/>
      <c r="M11" s="468"/>
      <c r="N11" s="468"/>
      <c r="O11" s="468"/>
      <c r="P11" s="17"/>
      <c r="Q11" s="119"/>
      <c r="R11" s="17"/>
      <c r="S11" s="436" t="s">
        <v>130</v>
      </c>
      <c r="T11" s="437"/>
      <c r="U11" s="438"/>
      <c r="V11" s="468"/>
      <c r="W11" s="468"/>
      <c r="X11" s="17"/>
      <c r="Y11" s="18"/>
      <c r="Z11" s="18"/>
      <c r="AA11" s="23" t="s">
        <v>320</v>
      </c>
      <c r="AB11" s="194">
        <f>IF(AND(V7="",M9="",Q3=""),'Taux anglais'!F22,0)</f>
        <v>0</v>
      </c>
      <c r="AC11" s="19"/>
    </row>
    <row r="12" spans="1:31" ht="4.5" customHeight="1" thickBot="1" x14ac:dyDescent="0.4">
      <c r="A12" s="16"/>
      <c r="B12" s="200"/>
      <c r="C12" s="20"/>
      <c r="D12" s="21"/>
      <c r="E12" s="21"/>
      <c r="F12" s="21"/>
      <c r="G12" s="21"/>
      <c r="H12" s="21"/>
      <c r="I12" s="21"/>
      <c r="J12" s="21"/>
      <c r="K12" s="21"/>
      <c r="L12" s="21"/>
      <c r="M12" s="468"/>
      <c r="N12" s="468"/>
      <c r="O12" s="468"/>
      <c r="P12" s="17"/>
      <c r="Q12" s="201"/>
      <c r="R12" s="17"/>
      <c r="S12" s="21"/>
      <c r="T12" s="21"/>
      <c r="U12" s="21"/>
      <c r="V12" s="468"/>
      <c r="W12" s="468"/>
      <c r="X12" s="17"/>
      <c r="Y12" s="18"/>
      <c r="Z12" s="17"/>
      <c r="AA12" s="17"/>
      <c r="AB12" s="17"/>
      <c r="AC12" s="19"/>
    </row>
    <row r="13" spans="1:31" ht="21.75" customHeight="1" thickBot="1" x14ac:dyDescent="0.4">
      <c r="A13" s="16"/>
      <c r="B13" s="119"/>
      <c r="C13" s="20"/>
      <c r="D13" s="436" t="s">
        <v>131</v>
      </c>
      <c r="E13" s="437"/>
      <c r="F13" s="437"/>
      <c r="G13" s="437"/>
      <c r="H13" s="437"/>
      <c r="I13" s="437"/>
      <c r="J13" s="437"/>
      <c r="K13" s="437"/>
      <c r="L13" s="438"/>
      <c r="M13" s="468"/>
      <c r="N13" s="468"/>
      <c r="O13" s="468"/>
      <c r="P13" s="17"/>
      <c r="Q13" s="414"/>
      <c r="R13" s="17"/>
      <c r="S13" s="470"/>
      <c r="T13" s="470"/>
      <c r="U13" s="470"/>
      <c r="V13" s="468"/>
      <c r="W13" s="468"/>
      <c r="X13" s="17"/>
      <c r="Y13" s="18"/>
      <c r="Z13" s="22"/>
      <c r="AA13" s="23" t="s">
        <v>321</v>
      </c>
      <c r="AB13" s="194">
        <f>26*AB11</f>
        <v>0</v>
      </c>
      <c r="AC13" s="19"/>
    </row>
    <row r="14" spans="1:31" ht="3.75" customHeight="1" x14ac:dyDescent="0.35">
      <c r="A14" s="16"/>
      <c r="B14" s="20"/>
      <c r="C14" s="21"/>
      <c r="D14" s="21"/>
      <c r="E14" s="21"/>
      <c r="F14" s="21"/>
      <c r="G14" s="21"/>
      <c r="H14" s="21"/>
      <c r="I14" s="21"/>
      <c r="J14" s="21"/>
      <c r="K14" s="21"/>
      <c r="L14" s="17"/>
      <c r="M14" s="21"/>
      <c r="N14" s="17"/>
      <c r="O14" s="17"/>
      <c r="P14" s="17"/>
      <c r="Q14" s="17"/>
      <c r="R14" s="17"/>
      <c r="S14" s="22"/>
      <c r="T14" s="22"/>
      <c r="U14" s="22"/>
      <c r="V14" s="22"/>
      <c r="W14" s="22"/>
      <c r="X14" s="22"/>
      <c r="Y14" s="18"/>
      <c r="Z14" s="17"/>
      <c r="AA14" s="23"/>
      <c r="AB14" s="18"/>
      <c r="AC14" s="19"/>
    </row>
    <row r="15" spans="1:31" x14ac:dyDescent="0.25">
      <c r="A15" s="16"/>
      <c r="B15" s="17"/>
      <c r="C15" s="17"/>
      <c r="D15" s="17"/>
      <c r="E15" s="17"/>
      <c r="F15" s="17"/>
      <c r="G15" s="17"/>
      <c r="H15" s="17"/>
      <c r="I15" s="17"/>
      <c r="J15" s="17"/>
      <c r="K15" s="17"/>
      <c r="L15" s="17"/>
      <c r="M15" s="17"/>
      <c r="N15" s="17"/>
      <c r="O15" s="17"/>
      <c r="P15" s="17"/>
      <c r="Q15" s="17"/>
      <c r="R15" s="24"/>
      <c r="S15" s="17"/>
      <c r="T15" s="17"/>
      <c r="U15" s="17"/>
      <c r="V15" s="17"/>
      <c r="W15" s="17"/>
      <c r="X15" s="17"/>
      <c r="Y15" s="22"/>
      <c r="Z15" s="22"/>
      <c r="AA15" s="17"/>
      <c r="AB15" s="325" t="str">
        <f xml:space="preserve"> IF(AB11&gt;0,"This cost doesn't include the 9 % sales tax","")</f>
        <v/>
      </c>
      <c r="AC15" s="19"/>
    </row>
    <row r="16" spans="1:31" ht="4.5" customHeight="1" x14ac:dyDescent="0.35">
      <c r="A16" s="16"/>
      <c r="B16" s="20"/>
      <c r="C16" s="20"/>
      <c r="D16" s="20"/>
      <c r="E16" s="20"/>
      <c r="F16" s="20"/>
      <c r="G16" s="20"/>
      <c r="H16" s="20"/>
      <c r="I16" s="20"/>
      <c r="J16" s="20"/>
      <c r="K16" s="20"/>
      <c r="L16" s="20"/>
      <c r="M16" s="17"/>
      <c r="N16" s="17"/>
      <c r="O16" s="17"/>
      <c r="P16" s="17"/>
      <c r="Q16" s="17"/>
      <c r="R16" s="24"/>
      <c r="S16" s="17"/>
      <c r="T16" s="17"/>
      <c r="U16" s="17"/>
      <c r="V16" s="17"/>
      <c r="W16" s="17"/>
      <c r="X16" s="17"/>
      <c r="Y16" s="22"/>
      <c r="Z16" s="22"/>
      <c r="AA16" s="22"/>
      <c r="AB16" s="18"/>
      <c r="AC16" s="19"/>
    </row>
    <row r="17" spans="1:29" ht="21" x14ac:dyDescent="0.35">
      <c r="A17" s="25"/>
      <c r="B17" s="26" t="s">
        <v>132</v>
      </c>
      <c r="C17" s="26"/>
      <c r="D17" s="27"/>
      <c r="E17" s="27"/>
      <c r="F17" s="27"/>
      <c r="G17" s="27"/>
      <c r="H17" s="27"/>
      <c r="I17" s="27"/>
      <c r="J17" s="27"/>
      <c r="K17" s="27"/>
      <c r="L17" s="27"/>
      <c r="M17" s="27"/>
      <c r="N17" s="27"/>
      <c r="O17" s="27"/>
      <c r="P17" s="27"/>
      <c r="Q17" s="27"/>
      <c r="R17" s="27"/>
      <c r="S17" s="27"/>
      <c r="T17" s="27"/>
      <c r="U17" s="27"/>
      <c r="V17" s="27"/>
      <c r="W17" s="27"/>
      <c r="X17" s="27"/>
      <c r="Y17" s="28"/>
      <c r="Z17" s="28"/>
      <c r="AA17" s="28"/>
      <c r="AB17" s="28"/>
      <c r="AC17" s="29"/>
    </row>
    <row r="18" spans="1:29" ht="21.75" thickBot="1" x14ac:dyDescent="0.4">
      <c r="A18" s="30"/>
      <c r="B18" s="32" t="s">
        <v>133</v>
      </c>
      <c r="C18" s="31"/>
      <c r="D18" s="32"/>
      <c r="E18" s="33"/>
      <c r="F18" s="33"/>
      <c r="G18" s="33"/>
      <c r="H18" s="33"/>
      <c r="I18" s="33"/>
      <c r="J18" s="33"/>
      <c r="K18" s="33"/>
      <c r="L18" s="33"/>
      <c r="M18" s="33"/>
      <c r="N18" s="33"/>
      <c r="O18" s="33"/>
      <c r="P18" s="33"/>
      <c r="Q18" s="33"/>
      <c r="R18" s="33"/>
      <c r="S18" s="363" t="s">
        <v>134</v>
      </c>
      <c r="T18" s="33"/>
      <c r="U18" s="33"/>
      <c r="V18" s="33"/>
      <c r="W18" s="33"/>
      <c r="X18" s="33"/>
      <c r="Y18" s="34"/>
      <c r="Z18" s="34"/>
      <c r="AA18" s="34"/>
      <c r="AB18" s="34"/>
      <c r="AC18" s="35"/>
    </row>
    <row r="19" spans="1:29" ht="21.75" customHeight="1" thickBot="1" x14ac:dyDescent="0.4">
      <c r="A19" s="30"/>
      <c r="B19" s="119"/>
      <c r="C19" s="36"/>
      <c r="D19" s="450" t="s">
        <v>135</v>
      </c>
      <c r="E19" s="452"/>
      <c r="F19" s="452"/>
      <c r="G19" s="452"/>
      <c r="H19" s="452"/>
      <c r="I19" s="452"/>
      <c r="J19" s="452"/>
      <c r="K19" s="452"/>
      <c r="L19" s="451"/>
      <c r="M19" s="453" t="str">
        <f>IF(COUNTBLANK(B19:B23)&lt;4,"You can't choose more than one answer",IF(COUNTBLANK(B19:B23)=5,"You have to choose an answer",""))</f>
        <v>You have to choose an answer</v>
      </c>
      <c r="N19" s="453"/>
      <c r="O19" s="453"/>
      <c r="P19" s="33"/>
      <c r="Q19" s="33"/>
      <c r="R19" s="33"/>
      <c r="S19" s="471" t="str">
        <f>IF(B19="X","",'Taux anglais'!C9)</f>
        <v/>
      </c>
      <c r="T19" s="472"/>
      <c r="U19" s="472"/>
      <c r="V19" s="473"/>
      <c r="W19" s="469" t="str">
        <f>IF(OR(AND(B13="X",COUNTIF(Q7:Q13,"X")&gt;0,COUNTIF(B21:B23,"X")&gt;0),B19="X",COUNTIF(B19:B23,"X")=0,AND(COUNTIF(B7:B11,"X")&gt;0,COUNTIF(Q7:Q13,"X")&gt;0,COUNTIF(B21:B23,"X")&gt;0)),"","You have to choose a coverage in the health insurance section")</f>
        <v/>
      </c>
      <c r="X19" s="469"/>
      <c r="Y19" s="469"/>
      <c r="Z19" s="469"/>
      <c r="AA19" s="469"/>
      <c r="AB19" s="469"/>
      <c r="AC19" s="35"/>
    </row>
    <row r="20" spans="1:29" ht="4.5" customHeight="1" thickBot="1" x14ac:dyDescent="0.4">
      <c r="A20" s="30"/>
      <c r="B20" s="198"/>
      <c r="C20" s="36"/>
      <c r="D20" s="37"/>
      <c r="E20" s="37"/>
      <c r="F20" s="37"/>
      <c r="G20" s="37"/>
      <c r="H20" s="37"/>
      <c r="I20" s="37"/>
      <c r="J20" s="37"/>
      <c r="K20" s="37"/>
      <c r="L20" s="37"/>
      <c r="M20" s="453"/>
      <c r="N20" s="453"/>
      <c r="O20" s="453"/>
      <c r="P20" s="33"/>
      <c r="Q20" s="33"/>
      <c r="R20" s="38"/>
      <c r="S20" s="38"/>
      <c r="T20" s="39"/>
      <c r="U20" s="39"/>
      <c r="V20" s="33"/>
      <c r="W20" s="469"/>
      <c r="X20" s="469"/>
      <c r="Y20" s="469"/>
      <c r="Z20" s="469"/>
      <c r="AA20" s="469"/>
      <c r="AB20" s="469"/>
      <c r="AC20" s="35"/>
    </row>
    <row r="21" spans="1:29" ht="21.75" customHeight="1" thickBot="1" x14ac:dyDescent="0.4">
      <c r="A21" s="30"/>
      <c r="B21" s="119"/>
      <c r="C21" s="36"/>
      <c r="D21" s="450" t="s">
        <v>136</v>
      </c>
      <c r="E21" s="452"/>
      <c r="F21" s="452"/>
      <c r="G21" s="452"/>
      <c r="H21" s="452"/>
      <c r="I21" s="452"/>
      <c r="J21" s="452"/>
      <c r="K21" s="452"/>
      <c r="L21" s="451"/>
      <c r="M21" s="453"/>
      <c r="N21" s="453"/>
      <c r="O21" s="453"/>
      <c r="P21" s="33"/>
      <c r="Q21" s="33"/>
      <c r="R21" s="33"/>
      <c r="S21" s="33"/>
      <c r="T21" s="39"/>
      <c r="U21" s="39"/>
      <c r="V21" s="33"/>
      <c r="W21" s="469"/>
      <c r="X21" s="469"/>
      <c r="Y21" s="469"/>
      <c r="Z21" s="469"/>
      <c r="AA21" s="469"/>
      <c r="AB21" s="469"/>
      <c r="AC21" s="35"/>
    </row>
    <row r="22" spans="1:29" ht="4.5" customHeight="1" thickBot="1" x14ac:dyDescent="0.4">
      <c r="A22" s="30"/>
      <c r="B22" s="198"/>
      <c r="C22" s="36"/>
      <c r="D22" s="37"/>
      <c r="E22" s="37"/>
      <c r="F22" s="37"/>
      <c r="G22" s="37"/>
      <c r="H22" s="37"/>
      <c r="I22" s="37"/>
      <c r="J22" s="37"/>
      <c r="K22" s="37"/>
      <c r="L22" s="37"/>
      <c r="M22" s="453"/>
      <c r="N22" s="453"/>
      <c r="O22" s="453"/>
      <c r="P22" s="33"/>
      <c r="Q22" s="33"/>
      <c r="R22" s="33"/>
      <c r="S22" s="33"/>
      <c r="T22" s="39"/>
      <c r="U22" s="39"/>
      <c r="V22" s="33"/>
      <c r="W22" s="33"/>
      <c r="X22" s="33"/>
      <c r="Y22" s="34"/>
      <c r="Z22" s="34"/>
      <c r="AA22" s="34"/>
      <c r="AB22" s="34"/>
      <c r="AC22" s="35"/>
    </row>
    <row r="23" spans="1:29" ht="21.75" customHeight="1" thickBot="1" x14ac:dyDescent="0.4">
      <c r="A23" s="30"/>
      <c r="B23" s="119"/>
      <c r="C23" s="36"/>
      <c r="D23" s="450" t="s">
        <v>137</v>
      </c>
      <c r="E23" s="452"/>
      <c r="F23" s="452"/>
      <c r="G23" s="452"/>
      <c r="H23" s="452"/>
      <c r="I23" s="452"/>
      <c r="J23" s="452"/>
      <c r="K23" s="452"/>
      <c r="L23" s="451"/>
      <c r="M23" s="453"/>
      <c r="N23" s="453"/>
      <c r="O23" s="453"/>
      <c r="P23" s="33"/>
      <c r="Q23" s="33"/>
      <c r="R23" s="33"/>
      <c r="S23" s="33"/>
      <c r="T23" s="39"/>
      <c r="U23" s="39"/>
      <c r="V23" s="33"/>
      <c r="W23" s="33"/>
      <c r="X23" s="33"/>
      <c r="Y23" s="34"/>
      <c r="Z23" s="34"/>
      <c r="AA23" s="40" t="s">
        <v>320</v>
      </c>
      <c r="AB23" s="217">
        <f>IF(AND(M19="",V7="",W19=""),'Taux anglais'!O11,0)</f>
        <v>0</v>
      </c>
      <c r="AC23" s="35"/>
    </row>
    <row r="24" spans="1:29" ht="4.5" customHeight="1" thickBot="1" x14ac:dyDescent="0.4">
      <c r="A24" s="30"/>
      <c r="B24" s="36"/>
      <c r="C24" s="36"/>
      <c r="D24" s="37"/>
      <c r="E24" s="37"/>
      <c r="F24" s="37"/>
      <c r="G24" s="37"/>
      <c r="H24" s="37"/>
      <c r="I24" s="37"/>
      <c r="J24" s="37"/>
      <c r="K24" s="37"/>
      <c r="L24" s="37"/>
      <c r="M24" s="33"/>
      <c r="N24" s="33"/>
      <c r="O24" s="33"/>
      <c r="P24" s="33"/>
      <c r="Q24" s="33"/>
      <c r="R24" s="33"/>
      <c r="S24" s="33"/>
      <c r="T24" s="39"/>
      <c r="U24" s="39"/>
      <c r="V24" s="33"/>
      <c r="W24" s="33"/>
      <c r="X24" s="33"/>
      <c r="Y24" s="34"/>
      <c r="Z24" s="34"/>
      <c r="AA24" s="40"/>
      <c r="AB24" s="195"/>
      <c r="AC24" s="35"/>
    </row>
    <row r="25" spans="1:29" ht="22.5" customHeight="1" thickBot="1" x14ac:dyDescent="0.3">
      <c r="A25" s="30"/>
      <c r="B25" s="33"/>
      <c r="C25" s="33"/>
      <c r="D25" s="460" t="str">
        <f>IF(COUNTIF(B7:B11,"X")&gt;0,"",IF(AND(B13="",COUNTIF(B21:B23,"X")&gt;0),"In order to receive only dental coverage, you must be covered by your spouse under health insurance",""))</f>
        <v/>
      </c>
      <c r="E25" s="460"/>
      <c r="F25" s="460"/>
      <c r="G25" s="460"/>
      <c r="H25" s="460"/>
      <c r="I25" s="460"/>
      <c r="J25" s="460"/>
      <c r="K25" s="460"/>
      <c r="L25" s="460"/>
      <c r="M25" s="460"/>
      <c r="N25" s="365"/>
      <c r="O25" s="365"/>
      <c r="P25" s="365"/>
      <c r="Q25" s="365"/>
      <c r="R25" s="33"/>
      <c r="S25" s="33"/>
      <c r="T25" s="33"/>
      <c r="U25" s="33"/>
      <c r="V25" s="33"/>
      <c r="W25" s="33"/>
      <c r="X25" s="33"/>
      <c r="Y25" s="34"/>
      <c r="Z25" s="34"/>
      <c r="AA25" s="40" t="s">
        <v>321</v>
      </c>
      <c r="AB25" s="41">
        <f>26*AB23</f>
        <v>0</v>
      </c>
      <c r="AC25" s="35"/>
    </row>
    <row r="26" spans="1:29" ht="15.75" customHeight="1" x14ac:dyDescent="0.25">
      <c r="A26" s="30"/>
      <c r="B26" s="33"/>
      <c r="C26" s="33"/>
      <c r="D26" s="460"/>
      <c r="E26" s="460"/>
      <c r="F26" s="460"/>
      <c r="G26" s="460"/>
      <c r="H26" s="460"/>
      <c r="I26" s="460"/>
      <c r="J26" s="460"/>
      <c r="K26" s="460"/>
      <c r="L26" s="460"/>
      <c r="M26" s="460"/>
      <c r="N26" s="365"/>
      <c r="O26" s="365"/>
      <c r="P26" s="365"/>
      <c r="Q26" s="365"/>
      <c r="R26" s="33"/>
      <c r="S26" s="33"/>
      <c r="T26" s="33"/>
      <c r="U26" s="33"/>
      <c r="V26" s="33"/>
      <c r="W26" s="33"/>
      <c r="X26" s="33"/>
      <c r="Y26" s="34"/>
      <c r="Z26" s="34"/>
      <c r="AA26" s="40"/>
      <c r="AB26" s="326" t="str">
        <f xml:space="preserve"> IF(AB23&gt;0,"This cost doesn't include the 9 % sales tax","")</f>
        <v/>
      </c>
      <c r="AC26" s="35"/>
    </row>
    <row r="27" spans="1:29" ht="4.5" customHeight="1" x14ac:dyDescent="0.25">
      <c r="A27" s="44"/>
      <c r="B27" s="45"/>
      <c r="C27" s="45"/>
      <c r="D27" s="45"/>
      <c r="E27" s="45"/>
      <c r="F27" s="45"/>
      <c r="G27" s="45"/>
      <c r="H27" s="45"/>
      <c r="I27" s="45"/>
      <c r="J27" s="45"/>
      <c r="K27" s="45"/>
      <c r="L27" s="45"/>
      <c r="M27" s="45"/>
      <c r="N27" s="45"/>
      <c r="O27" s="45"/>
      <c r="P27" s="45"/>
      <c r="Q27" s="45"/>
      <c r="R27" s="45"/>
      <c r="S27" s="45"/>
      <c r="T27" s="45"/>
      <c r="U27" s="45"/>
      <c r="V27" s="45"/>
      <c r="W27" s="45"/>
      <c r="X27" s="45"/>
      <c r="Y27" s="46"/>
      <c r="Z27" s="46" t="s">
        <v>165</v>
      </c>
      <c r="AA27" s="46"/>
      <c r="AB27" s="46"/>
      <c r="AC27" s="47"/>
    </row>
    <row r="28" spans="1:29" ht="15.75" thickBot="1" x14ac:dyDescent="0.3">
      <c r="A28" s="13"/>
      <c r="B28" s="14"/>
      <c r="C28" s="14"/>
      <c r="D28" s="14"/>
      <c r="E28" s="14"/>
      <c r="F28" s="14"/>
      <c r="G28" s="14"/>
      <c r="H28" s="14"/>
      <c r="I28" s="14"/>
      <c r="J28" s="14"/>
      <c r="K28" s="14"/>
      <c r="L28" s="14"/>
      <c r="M28" s="14"/>
      <c r="N28" s="14"/>
      <c r="O28" s="14"/>
      <c r="P28" s="14"/>
      <c r="Q28" s="14"/>
      <c r="R28" s="14"/>
      <c r="S28" s="14"/>
      <c r="T28" s="14"/>
      <c r="U28" s="14"/>
      <c r="V28" s="14"/>
      <c r="W28" s="14"/>
      <c r="X28" s="14"/>
      <c r="Y28" s="48"/>
      <c r="Z28" s="48"/>
      <c r="AA28" s="48"/>
      <c r="AB28" s="48"/>
      <c r="AC28" s="15"/>
    </row>
    <row r="29" spans="1:29" ht="21.75" customHeight="1" thickBot="1" x14ac:dyDescent="0.4">
      <c r="A29" s="16"/>
      <c r="B29" s="49" t="s">
        <v>138</v>
      </c>
      <c r="C29" s="49"/>
      <c r="D29" s="17"/>
      <c r="E29" s="17"/>
      <c r="F29" s="50"/>
      <c r="G29" s="50"/>
      <c r="H29" s="50"/>
      <c r="I29" s="50"/>
      <c r="J29" s="50"/>
      <c r="K29" s="17"/>
      <c r="L29" s="17"/>
      <c r="M29" s="17"/>
      <c r="N29" s="17"/>
      <c r="O29" s="22"/>
      <c r="P29" s="69"/>
      <c r="Q29" s="69"/>
      <c r="R29" s="69"/>
      <c r="S29" s="69"/>
      <c r="T29" s="300"/>
      <c r="U29" s="23" t="s">
        <v>332</v>
      </c>
      <c r="V29" s="205">
        <f>IF(COUNTBLANK(B34:B42)=8,'Taux anglais'!G27,0)</f>
        <v>0</v>
      </c>
      <c r="W29" s="22" t="s">
        <v>97</v>
      </c>
      <c r="X29" s="17"/>
      <c r="Y29" s="22"/>
      <c r="Z29" s="22"/>
      <c r="AA29" s="22"/>
      <c r="AB29" s="22"/>
      <c r="AC29" s="19"/>
    </row>
    <row r="30" spans="1:29" ht="77.25" customHeight="1" x14ac:dyDescent="0.25">
      <c r="A30" s="16"/>
      <c r="B30" s="457" t="s">
        <v>350</v>
      </c>
      <c r="C30" s="457"/>
      <c r="D30" s="457"/>
      <c r="E30" s="457"/>
      <c r="F30" s="457"/>
      <c r="G30" s="457"/>
      <c r="H30" s="457"/>
      <c r="I30" s="457"/>
      <c r="J30" s="457"/>
      <c r="K30" s="457"/>
      <c r="L30" s="457"/>
      <c r="M30" s="457"/>
      <c r="N30" s="457"/>
      <c r="O30" s="215"/>
      <c r="P30" s="214"/>
      <c r="Q30" s="190"/>
      <c r="R30" s="190"/>
      <c r="S30" s="86"/>
      <c r="T30" s="301"/>
      <c r="U30" s="22" t="s">
        <v>97</v>
      </c>
      <c r="V30" s="17"/>
      <c r="W30" s="22" t="s">
        <v>97</v>
      </c>
      <c r="X30" s="17"/>
      <c r="Y30" s="22"/>
      <c r="Z30" s="22"/>
      <c r="AA30" s="22"/>
      <c r="AB30" s="22"/>
      <c r="AC30" s="19"/>
    </row>
    <row r="31" spans="1:29" x14ac:dyDescent="0.25">
      <c r="A31" s="16"/>
      <c r="B31" s="51" t="s">
        <v>139</v>
      </c>
      <c r="C31" s="51"/>
      <c r="D31" s="17"/>
      <c r="E31" s="17"/>
      <c r="F31" s="17"/>
      <c r="G31" s="17"/>
      <c r="H31" s="17"/>
      <c r="I31" s="17"/>
      <c r="J31" s="17"/>
      <c r="K31" s="17"/>
      <c r="L31" s="17"/>
      <c r="M31" s="17"/>
      <c r="N31" s="17"/>
      <c r="O31" s="17"/>
      <c r="P31" s="22"/>
      <c r="Q31" s="22"/>
      <c r="R31" s="22"/>
      <c r="S31" s="22"/>
      <c r="T31" s="302"/>
      <c r="U31" s="53"/>
      <c r="V31" s="22"/>
      <c r="W31" s="22" t="s">
        <v>97</v>
      </c>
      <c r="X31" s="17"/>
      <c r="Y31" s="22"/>
      <c r="Z31" s="22"/>
      <c r="AA31" s="22"/>
      <c r="AB31" s="22"/>
      <c r="AC31" s="19"/>
    </row>
    <row r="32" spans="1:29" ht="1.1499999999999999" customHeight="1" x14ac:dyDescent="0.25">
      <c r="A32" s="16"/>
      <c r="B32" s="22" t="s">
        <v>97</v>
      </c>
      <c r="C32" s="22" t="s">
        <v>97</v>
      </c>
      <c r="D32" s="22" t="s">
        <v>97</v>
      </c>
      <c r="E32" s="22" t="s">
        <v>97</v>
      </c>
      <c r="F32" s="22" t="s">
        <v>97</v>
      </c>
      <c r="G32" s="22" t="s">
        <v>97</v>
      </c>
      <c r="H32" s="22" t="s">
        <v>97</v>
      </c>
      <c r="I32" s="22" t="s">
        <v>97</v>
      </c>
      <c r="J32" s="22" t="s">
        <v>97</v>
      </c>
      <c r="K32" s="22" t="s">
        <v>97</v>
      </c>
      <c r="L32" s="22" t="s">
        <v>97</v>
      </c>
      <c r="M32" s="22" t="s">
        <v>97</v>
      </c>
      <c r="N32" s="22" t="s">
        <v>97</v>
      </c>
      <c r="O32" s="22" t="s">
        <v>97</v>
      </c>
      <c r="P32" s="22"/>
      <c r="Q32" s="22"/>
      <c r="R32" s="22"/>
      <c r="S32" s="22"/>
      <c r="T32" s="303"/>
      <c r="U32" s="22" t="s">
        <v>97</v>
      </c>
      <c r="V32" s="22" t="s">
        <v>97</v>
      </c>
      <c r="W32" s="22" t="s">
        <v>97</v>
      </c>
      <c r="X32" s="22" t="s">
        <v>97</v>
      </c>
      <c r="Y32" s="22"/>
      <c r="Z32" s="22"/>
      <c r="AA32" s="22"/>
      <c r="AB32" s="22"/>
      <c r="AC32" s="19"/>
    </row>
    <row r="33" spans="1:29" ht="4.5" customHeight="1" thickBot="1" x14ac:dyDescent="0.3">
      <c r="A33" s="16"/>
      <c r="B33" s="199"/>
      <c r="C33" s="17"/>
      <c r="D33" s="51"/>
      <c r="E33" s="51"/>
      <c r="F33" s="17"/>
      <c r="G33" s="17"/>
      <c r="H33" s="17"/>
      <c r="I33" s="17"/>
      <c r="J33" s="17"/>
      <c r="K33" s="17"/>
      <c r="L33" s="17"/>
      <c r="M33" s="17"/>
      <c r="N33" s="22"/>
      <c r="O33" s="17"/>
      <c r="P33" s="22"/>
      <c r="Q33" s="22"/>
      <c r="R33" s="22"/>
      <c r="S33" s="22"/>
      <c r="T33" s="303"/>
      <c r="U33" s="22"/>
      <c r="V33" s="22"/>
      <c r="W33" s="22" t="s">
        <v>97</v>
      </c>
      <c r="X33" s="22"/>
      <c r="Y33" s="22"/>
      <c r="Z33" s="22"/>
      <c r="AA33" s="22"/>
      <c r="AB33" s="22"/>
      <c r="AC33" s="19"/>
    </row>
    <row r="34" spans="1:29" ht="21.75" customHeight="1" thickBot="1" x14ac:dyDescent="0.3">
      <c r="A34" s="16"/>
      <c r="B34" s="119"/>
      <c r="C34" s="17"/>
      <c r="D34" s="436" t="str">
        <f>'Taux anglais'!B32</f>
        <v>From Laval University union</v>
      </c>
      <c r="E34" s="437"/>
      <c r="F34" s="437"/>
      <c r="G34" s="437"/>
      <c r="H34" s="437"/>
      <c r="I34" s="437"/>
      <c r="J34" s="437"/>
      <c r="K34" s="437"/>
      <c r="L34" s="437"/>
      <c r="M34" s="437"/>
      <c r="N34" s="438"/>
      <c r="O34" s="22" t="s">
        <v>97</v>
      </c>
      <c r="P34" s="68"/>
      <c r="Q34" s="68"/>
      <c r="R34" s="22"/>
      <c r="S34" s="22"/>
      <c r="T34" s="300"/>
      <c r="U34" s="23" t="s">
        <v>265</v>
      </c>
      <c r="V34" s="206"/>
      <c r="W34" s="22" t="s">
        <v>97</v>
      </c>
      <c r="X34" s="22"/>
      <c r="Y34" s="22"/>
      <c r="Z34" s="22"/>
      <c r="AA34" s="22"/>
      <c r="AB34" s="22"/>
      <c r="AC34" s="19"/>
    </row>
    <row r="35" spans="1:29" ht="4.5" customHeight="1" thickBot="1" x14ac:dyDescent="0.3">
      <c r="A35" s="16"/>
      <c r="B35" s="199"/>
      <c r="C35" s="17"/>
      <c r="D35" s="51"/>
      <c r="E35" s="51"/>
      <c r="F35" s="17"/>
      <c r="G35" s="17"/>
      <c r="H35" s="17"/>
      <c r="I35" s="17"/>
      <c r="J35" s="17"/>
      <c r="K35" s="17"/>
      <c r="L35" s="17"/>
      <c r="M35" s="17"/>
      <c r="N35" s="22"/>
      <c r="O35" s="68"/>
      <c r="P35" s="68"/>
      <c r="Q35" s="68"/>
      <c r="R35" s="22"/>
      <c r="S35" s="22"/>
      <c r="T35" s="22"/>
      <c r="U35" s="22"/>
      <c r="V35" s="22"/>
      <c r="W35" s="22"/>
      <c r="X35" s="22"/>
      <c r="Y35" s="22"/>
      <c r="Z35" s="17"/>
      <c r="AA35" s="17"/>
      <c r="AB35" s="22"/>
      <c r="AC35" s="19"/>
    </row>
    <row r="36" spans="1:29" ht="21.75" customHeight="1" thickBot="1" x14ac:dyDescent="0.3">
      <c r="A36" s="16"/>
      <c r="B36" s="119"/>
      <c r="C36" s="17"/>
      <c r="D36" s="436" t="str">
        <f>'Taux anglais'!B33</f>
        <v>From LaSalle College union</v>
      </c>
      <c r="E36" s="437"/>
      <c r="F36" s="437"/>
      <c r="G36" s="437"/>
      <c r="H36" s="437"/>
      <c r="I36" s="437"/>
      <c r="J36" s="437"/>
      <c r="K36" s="437"/>
      <c r="L36" s="437"/>
      <c r="M36" s="437"/>
      <c r="N36" s="438"/>
      <c r="O36" s="468" t="str">
        <f>IF(COUNTBLANK(B34:B42)&lt;8,"You can't choose more than one answer","")</f>
        <v/>
      </c>
      <c r="P36" s="468"/>
      <c r="Q36" s="468"/>
      <c r="R36" s="68"/>
      <c r="S36" s="68"/>
      <c r="T36" s="22" t="s">
        <v>97</v>
      </c>
      <c r="U36" s="22" t="s">
        <v>97</v>
      </c>
      <c r="V36" s="22" t="s">
        <v>97</v>
      </c>
      <c r="W36" s="22" t="s">
        <v>97</v>
      </c>
      <c r="X36" s="22" t="s">
        <v>97</v>
      </c>
      <c r="Y36" s="22"/>
      <c r="Z36" s="18"/>
      <c r="AA36" s="23" t="s">
        <v>320</v>
      </c>
      <c r="AB36" s="216">
        <f>IF(O36="",ROUND(V34/1000*V29,2),0)</f>
        <v>0</v>
      </c>
      <c r="AC36" s="19"/>
    </row>
    <row r="37" spans="1:29" ht="4.5" customHeight="1" thickBot="1" x14ac:dyDescent="0.3">
      <c r="A37" s="16"/>
      <c r="B37" s="199"/>
      <c r="C37" s="17"/>
      <c r="D37" s="51"/>
      <c r="E37" s="51"/>
      <c r="F37" s="17"/>
      <c r="G37" s="17"/>
      <c r="H37" s="17"/>
      <c r="I37" s="17"/>
      <c r="J37" s="17"/>
      <c r="K37" s="17"/>
      <c r="L37" s="17"/>
      <c r="M37" s="17"/>
      <c r="N37" s="22"/>
      <c r="O37" s="468"/>
      <c r="P37" s="468"/>
      <c r="Q37" s="468"/>
      <c r="R37" s="68"/>
      <c r="S37" s="68"/>
      <c r="T37" s="22" t="s">
        <v>97</v>
      </c>
      <c r="U37" s="22" t="s">
        <v>97</v>
      </c>
      <c r="V37" s="22" t="s">
        <v>97</v>
      </c>
      <c r="W37" s="22" t="s">
        <v>97</v>
      </c>
      <c r="X37" s="22" t="s">
        <v>97</v>
      </c>
      <c r="Y37" s="22"/>
      <c r="Z37" s="17"/>
      <c r="AA37" s="17"/>
      <c r="AB37" s="22"/>
      <c r="AC37" s="19"/>
    </row>
    <row r="38" spans="1:29" ht="21.75" customHeight="1" thickBot="1" x14ac:dyDescent="0.3">
      <c r="A38" s="16"/>
      <c r="B38" s="119"/>
      <c r="C38" s="17"/>
      <c r="D38" s="436" t="str">
        <f>'Taux anglais'!B34</f>
        <v>From Trinité College union</v>
      </c>
      <c r="E38" s="437"/>
      <c r="F38" s="437"/>
      <c r="G38" s="437"/>
      <c r="H38" s="437"/>
      <c r="I38" s="437"/>
      <c r="J38" s="437"/>
      <c r="K38" s="437"/>
      <c r="L38" s="437"/>
      <c r="M38" s="437"/>
      <c r="N38" s="438"/>
      <c r="O38" s="468"/>
      <c r="P38" s="468"/>
      <c r="Q38" s="468"/>
      <c r="R38" s="68"/>
      <c r="S38" s="68"/>
      <c r="T38" s="22" t="s">
        <v>97</v>
      </c>
      <c r="U38" s="22" t="s">
        <v>97</v>
      </c>
      <c r="V38" s="22" t="s">
        <v>97</v>
      </c>
      <c r="W38" s="22" t="s">
        <v>97</v>
      </c>
      <c r="X38" s="22" t="s">
        <v>97</v>
      </c>
      <c r="Y38" s="22"/>
      <c r="Z38" s="22"/>
      <c r="AA38" s="23" t="s">
        <v>321</v>
      </c>
      <c r="AB38" s="216">
        <f>26*AB36</f>
        <v>0</v>
      </c>
      <c r="AC38" s="19"/>
    </row>
    <row r="39" spans="1:29" ht="4.5" customHeight="1" thickBot="1" x14ac:dyDescent="0.3">
      <c r="A39" s="16"/>
      <c r="B39" s="199"/>
      <c r="C39" s="17"/>
      <c r="D39" s="51"/>
      <c r="E39" s="55"/>
      <c r="F39" s="55"/>
      <c r="G39" s="55"/>
      <c r="H39" s="55"/>
      <c r="I39" s="55"/>
      <c r="J39" s="55"/>
      <c r="K39" s="55"/>
      <c r="L39" s="55"/>
      <c r="M39" s="55"/>
      <c r="N39" s="55"/>
      <c r="O39" s="468"/>
      <c r="P39" s="468"/>
      <c r="Q39" s="468"/>
      <c r="R39" s="68"/>
      <c r="S39" s="68"/>
      <c r="T39" s="22" t="s">
        <v>97</v>
      </c>
      <c r="U39" s="22" t="s">
        <v>97</v>
      </c>
      <c r="V39" s="22" t="s">
        <v>97</v>
      </c>
      <c r="W39" s="22" t="s">
        <v>97</v>
      </c>
      <c r="X39" s="22" t="s">
        <v>97</v>
      </c>
      <c r="Y39" s="22" t="s">
        <v>97</v>
      </c>
      <c r="Z39" s="22"/>
      <c r="AA39" s="23"/>
      <c r="AB39" s="22"/>
      <c r="AC39" s="19"/>
    </row>
    <row r="40" spans="1:29" ht="21.75" customHeight="1" thickBot="1" x14ac:dyDescent="0.3">
      <c r="A40" s="16"/>
      <c r="B40" s="119"/>
      <c r="C40" s="17"/>
      <c r="D40" s="436" t="str">
        <f>'Taux anglais'!B35</f>
        <v>From ITHQ or ITAQ</v>
      </c>
      <c r="E40" s="437"/>
      <c r="F40" s="437"/>
      <c r="G40" s="437"/>
      <c r="H40" s="437"/>
      <c r="I40" s="437"/>
      <c r="J40" s="437"/>
      <c r="K40" s="437"/>
      <c r="L40" s="437"/>
      <c r="M40" s="437"/>
      <c r="N40" s="438"/>
      <c r="O40" s="468"/>
      <c r="P40" s="468"/>
      <c r="Q40" s="468"/>
      <c r="R40" s="68"/>
      <c r="S40" s="68"/>
      <c r="T40" s="22" t="s">
        <v>97</v>
      </c>
      <c r="U40" s="22" t="s">
        <v>97</v>
      </c>
      <c r="V40" s="22" t="s">
        <v>97</v>
      </c>
      <c r="W40" s="22" t="s">
        <v>97</v>
      </c>
      <c r="X40" s="22" t="s">
        <v>97</v>
      </c>
      <c r="Y40" s="22" t="s">
        <v>97</v>
      </c>
      <c r="Z40" s="22"/>
      <c r="AA40" s="22"/>
      <c r="AB40" s="325" t="str">
        <f xml:space="preserve"> IF(AB36&gt;0,"This cost doesn't include the 9 % sales tax","")</f>
        <v/>
      </c>
      <c r="AC40" s="19"/>
    </row>
    <row r="41" spans="1:29" ht="6" customHeight="1" thickBot="1" x14ac:dyDescent="0.3">
      <c r="A41" s="16"/>
      <c r="B41" s="342"/>
      <c r="C41" s="17"/>
      <c r="D41" s="342"/>
      <c r="E41" s="342"/>
      <c r="F41" s="342"/>
      <c r="G41" s="342"/>
      <c r="H41" s="342"/>
      <c r="I41" s="342"/>
      <c r="J41" s="342"/>
      <c r="K41" s="342"/>
      <c r="L41" s="342"/>
      <c r="M41" s="342"/>
      <c r="N41" s="342"/>
      <c r="O41" s="468"/>
      <c r="P41" s="468"/>
      <c r="Q41" s="468"/>
      <c r="R41" s="68"/>
      <c r="S41" s="68"/>
      <c r="T41" s="22"/>
      <c r="U41" s="22"/>
      <c r="V41" s="22"/>
      <c r="W41" s="22"/>
      <c r="X41" s="22"/>
      <c r="Y41" s="22"/>
      <c r="Z41" s="22"/>
      <c r="AA41" s="22"/>
      <c r="AB41" s="325"/>
      <c r="AC41" s="19"/>
    </row>
    <row r="42" spans="1:29" ht="21.75" customHeight="1" thickBot="1" x14ac:dyDescent="0.3">
      <c r="A42" s="16"/>
      <c r="B42" s="119"/>
      <c r="C42" s="17"/>
      <c r="D42" s="436" t="str">
        <f>'Taux anglais'!B36</f>
        <v>From any other college or university</v>
      </c>
      <c r="E42" s="437"/>
      <c r="F42" s="437"/>
      <c r="G42" s="437"/>
      <c r="H42" s="437"/>
      <c r="I42" s="437"/>
      <c r="J42" s="437"/>
      <c r="K42" s="437"/>
      <c r="L42" s="437"/>
      <c r="M42" s="437"/>
      <c r="N42" s="438"/>
      <c r="O42" s="468"/>
      <c r="P42" s="468"/>
      <c r="Q42" s="468"/>
      <c r="R42" s="68"/>
      <c r="S42" s="68"/>
      <c r="T42" s="22"/>
      <c r="U42" s="22"/>
      <c r="V42" s="22"/>
      <c r="W42" s="22"/>
      <c r="X42" s="22"/>
      <c r="Y42" s="22"/>
      <c r="Z42" s="22"/>
      <c r="AA42" s="22"/>
      <c r="AB42" s="325"/>
      <c r="AC42" s="19"/>
    </row>
    <row r="43" spans="1:29" ht="4.5" customHeight="1" x14ac:dyDescent="0.25">
      <c r="A43" s="16"/>
      <c r="B43" s="199"/>
      <c r="C43" s="17"/>
      <c r="D43" s="329"/>
      <c r="E43" s="330"/>
      <c r="F43" s="330"/>
      <c r="G43" s="330"/>
      <c r="H43" s="330"/>
      <c r="I43" s="330"/>
      <c r="J43" s="330"/>
      <c r="K43" s="330"/>
      <c r="L43" s="330"/>
      <c r="M43" s="330"/>
      <c r="N43" s="330"/>
      <c r="O43" s="468"/>
      <c r="P43" s="468"/>
      <c r="Q43" s="468"/>
      <c r="R43" s="68"/>
      <c r="S43" s="68"/>
      <c r="T43" s="22" t="s">
        <v>97</v>
      </c>
      <c r="U43" s="22" t="s">
        <v>97</v>
      </c>
      <c r="V43" s="22" t="s">
        <v>97</v>
      </c>
      <c r="W43" s="22" t="s">
        <v>97</v>
      </c>
      <c r="X43" s="22" t="s">
        <v>97</v>
      </c>
      <c r="Y43" s="22" t="s">
        <v>97</v>
      </c>
      <c r="Z43" s="22"/>
      <c r="AA43" s="23"/>
      <c r="AB43" s="22"/>
      <c r="AC43" s="19"/>
    </row>
    <row r="44" spans="1:29" ht="7.5" customHeight="1" x14ac:dyDescent="0.25">
      <c r="A44" s="54"/>
      <c r="B44" s="55"/>
      <c r="C44" s="55"/>
      <c r="D44" s="55"/>
      <c r="E44" s="55"/>
      <c r="F44" s="55"/>
      <c r="G44" s="55"/>
      <c r="H44" s="55"/>
      <c r="I44" s="55"/>
      <c r="J44" s="55"/>
      <c r="K44" s="55"/>
      <c r="L44" s="55"/>
      <c r="M44" s="55"/>
      <c r="N44" s="55"/>
      <c r="O44" s="55"/>
      <c r="P44" s="55"/>
      <c r="Q44" s="55"/>
      <c r="R44" s="55"/>
      <c r="S44" s="55"/>
      <c r="T44" s="55"/>
      <c r="U44" s="56"/>
      <c r="V44" s="56"/>
      <c r="W44" s="56"/>
      <c r="X44" s="56"/>
      <c r="Y44" s="56"/>
      <c r="Z44" s="56"/>
      <c r="AA44" s="56"/>
      <c r="AB44" s="56"/>
      <c r="AC44" s="57"/>
    </row>
    <row r="45" spans="1:29" ht="21.75" thickBot="1" x14ac:dyDescent="0.4">
      <c r="A45" s="25"/>
      <c r="B45" s="26" t="s">
        <v>142</v>
      </c>
      <c r="C45" s="26"/>
      <c r="D45" s="27"/>
      <c r="E45" s="27"/>
      <c r="F45" s="58"/>
      <c r="G45" s="58"/>
      <c r="H45" s="58"/>
      <c r="I45" s="58"/>
      <c r="J45" s="58"/>
      <c r="K45" s="27"/>
      <c r="L45" s="27"/>
      <c r="M45" s="27"/>
      <c r="N45" s="27"/>
      <c r="O45" s="27"/>
      <c r="P45" s="28"/>
      <c r="Q45" s="28"/>
      <c r="R45" s="28"/>
      <c r="S45" s="28"/>
      <c r="T45" s="28"/>
      <c r="U45" s="27"/>
      <c r="V45" s="27"/>
      <c r="W45" s="27"/>
      <c r="X45" s="27"/>
      <c r="Y45" s="27"/>
      <c r="Z45" s="28"/>
      <c r="AA45" s="28"/>
      <c r="AB45" s="28"/>
      <c r="AC45" s="29"/>
    </row>
    <row r="46" spans="1:29" ht="21.75" customHeight="1" thickBot="1" x14ac:dyDescent="0.4">
      <c r="A46" s="30"/>
      <c r="B46" s="33" t="s">
        <v>310</v>
      </c>
      <c r="C46" s="31"/>
      <c r="D46" s="33"/>
      <c r="E46" s="33"/>
      <c r="F46" s="59"/>
      <c r="G46" s="59"/>
      <c r="H46" s="59"/>
      <c r="I46" s="59"/>
      <c r="J46" s="59"/>
      <c r="K46" s="33"/>
      <c r="L46" s="33"/>
      <c r="M46" s="33"/>
      <c r="N46" s="40"/>
      <c r="O46" s="40"/>
      <c r="P46" s="40"/>
      <c r="Q46" s="40"/>
      <c r="R46" s="40"/>
      <c r="S46" s="40"/>
      <c r="T46" s="33"/>
      <c r="U46" s="40" t="s">
        <v>332</v>
      </c>
      <c r="V46" s="273">
        <f>'Taux anglais'!I33</f>
        <v>0</v>
      </c>
      <c r="W46" s="33"/>
      <c r="X46" s="33"/>
      <c r="Y46" s="33"/>
      <c r="Z46" s="34"/>
      <c r="AA46" s="34"/>
      <c r="AB46" s="34"/>
      <c r="AC46" s="35"/>
    </row>
    <row r="47" spans="1:29" ht="21.75" customHeight="1" thickBot="1" x14ac:dyDescent="0.3">
      <c r="A47" s="30"/>
      <c r="B47" s="119"/>
      <c r="C47" s="33"/>
      <c r="D47" s="454" t="s">
        <v>143</v>
      </c>
      <c r="E47" s="455"/>
      <c r="F47" s="442" t="str">
        <f>IF(COUNTBLANK(B47:B49)&lt;2,"You can't choose more than one answer",IF(COUNTBLANK(B47:B49)=3,"You have to choose an answer",""))</f>
        <v>You have to choose an answer</v>
      </c>
      <c r="G47" s="442"/>
      <c r="H47" s="442"/>
      <c r="I47" s="442"/>
      <c r="J47" s="442"/>
      <c r="K47" s="442"/>
      <c r="L47" s="33"/>
      <c r="M47" s="33"/>
      <c r="N47" s="33"/>
      <c r="O47" s="33"/>
      <c r="P47" s="110"/>
      <c r="Q47" s="110"/>
      <c r="R47" s="110"/>
      <c r="S47" s="110"/>
      <c r="T47" s="33"/>
      <c r="U47" s="33"/>
      <c r="V47" s="61"/>
      <c r="W47" s="33"/>
      <c r="X47" s="33"/>
      <c r="Y47" s="34"/>
      <c r="Z47" s="34"/>
      <c r="AA47" s="34"/>
      <c r="AB47" s="34"/>
      <c r="AC47" s="35"/>
    </row>
    <row r="48" spans="1:29" ht="4.5" customHeight="1" thickBot="1" x14ac:dyDescent="0.3">
      <c r="A48" s="30"/>
      <c r="B48" s="202"/>
      <c r="C48" s="33"/>
      <c r="D48" s="207"/>
      <c r="E48" s="207"/>
      <c r="F48" s="442"/>
      <c r="G48" s="442"/>
      <c r="H48" s="442"/>
      <c r="I48" s="442"/>
      <c r="J48" s="442"/>
      <c r="K48" s="442"/>
      <c r="L48" s="33"/>
      <c r="M48" s="33"/>
      <c r="N48" s="33"/>
      <c r="O48" s="33"/>
      <c r="P48" s="33"/>
      <c r="Q48" s="33"/>
      <c r="R48" s="33"/>
      <c r="S48" s="33"/>
      <c r="T48" s="33"/>
      <c r="U48" s="33"/>
      <c r="V48" s="61"/>
      <c r="W48" s="33"/>
      <c r="X48" s="33"/>
      <c r="Y48" s="34"/>
      <c r="Z48" s="34"/>
      <c r="AA48" s="34"/>
      <c r="AB48" s="34"/>
      <c r="AC48" s="35"/>
    </row>
    <row r="49" spans="1:29" ht="21.75" customHeight="1" thickBot="1" x14ac:dyDescent="0.3">
      <c r="A49" s="30"/>
      <c r="B49" s="119"/>
      <c r="C49" s="33"/>
      <c r="D49" s="454" t="s">
        <v>144</v>
      </c>
      <c r="E49" s="455"/>
      <c r="F49" s="442"/>
      <c r="G49" s="442"/>
      <c r="H49" s="442"/>
      <c r="I49" s="442"/>
      <c r="J49" s="442"/>
      <c r="K49" s="442"/>
      <c r="L49" s="33"/>
      <c r="M49" s="33"/>
      <c r="N49" s="33"/>
      <c r="O49" s="40"/>
      <c r="P49" s="40"/>
      <c r="Q49" s="40"/>
      <c r="R49" s="33"/>
      <c r="S49" s="33"/>
      <c r="T49" s="33"/>
      <c r="U49" s="40" t="s">
        <v>265</v>
      </c>
      <c r="V49" s="204">
        <f>V34</f>
        <v>0</v>
      </c>
      <c r="W49" s="33"/>
      <c r="X49" s="33"/>
      <c r="Y49" s="34"/>
      <c r="Z49" s="34"/>
      <c r="AA49" s="40" t="s">
        <v>320</v>
      </c>
      <c r="AB49" s="264">
        <f>IF(F47="",ROUND(V49/1000*V46,2),0)</f>
        <v>0</v>
      </c>
      <c r="AC49" s="35"/>
    </row>
    <row r="50" spans="1:29" ht="15.75" thickBot="1" x14ac:dyDescent="0.3">
      <c r="A50" s="30"/>
      <c r="B50" s="497"/>
      <c r="C50" s="497"/>
      <c r="D50" s="497"/>
      <c r="E50" s="497"/>
      <c r="F50" s="497"/>
      <c r="G50" s="497"/>
      <c r="H50" s="497"/>
      <c r="I50" s="497"/>
      <c r="J50" s="497"/>
      <c r="K50" s="497"/>
      <c r="L50" s="497"/>
      <c r="M50" s="497"/>
      <c r="N50" s="497"/>
      <c r="O50" s="497"/>
      <c r="P50" s="497"/>
      <c r="Q50" s="497"/>
      <c r="R50" s="33"/>
      <c r="S50" s="33"/>
      <c r="T50" s="33"/>
      <c r="U50" s="33"/>
      <c r="V50" s="61"/>
      <c r="W50" s="33"/>
      <c r="X50" s="33"/>
      <c r="Y50" s="34"/>
      <c r="Z50" s="34"/>
      <c r="AA50" s="40"/>
      <c r="AB50" s="34"/>
      <c r="AC50" s="35"/>
    </row>
    <row r="51" spans="1:29" ht="21.75" customHeight="1" thickBot="1" x14ac:dyDescent="0.3">
      <c r="A51" s="30"/>
      <c r="B51" s="497"/>
      <c r="C51" s="497"/>
      <c r="D51" s="497"/>
      <c r="E51" s="497"/>
      <c r="F51" s="497"/>
      <c r="G51" s="497"/>
      <c r="H51" s="497"/>
      <c r="I51" s="497"/>
      <c r="J51" s="497"/>
      <c r="K51" s="497"/>
      <c r="L51" s="497"/>
      <c r="M51" s="497"/>
      <c r="N51" s="497"/>
      <c r="O51" s="497"/>
      <c r="P51" s="497"/>
      <c r="Q51" s="497"/>
      <c r="R51" s="62"/>
      <c r="S51" s="62"/>
      <c r="T51" s="62"/>
      <c r="U51" s="33"/>
      <c r="V51" s="63"/>
      <c r="W51" s="63"/>
      <c r="X51" s="33"/>
      <c r="Y51" s="34"/>
      <c r="Z51" s="34"/>
      <c r="AA51" s="40" t="s">
        <v>321</v>
      </c>
      <c r="AB51" s="264">
        <f>26*AB49</f>
        <v>0</v>
      </c>
      <c r="AC51" s="35"/>
    </row>
    <row r="52" spans="1:29" ht="21.75" customHeight="1" x14ac:dyDescent="0.25">
      <c r="A52" s="44"/>
      <c r="B52" s="444"/>
      <c r="C52" s="444"/>
      <c r="D52" s="444"/>
      <c r="E52" s="444"/>
      <c r="F52" s="444"/>
      <c r="G52" s="444"/>
      <c r="H52" s="444"/>
      <c r="I52" s="444"/>
      <c r="J52" s="444"/>
      <c r="K52" s="444"/>
      <c r="L52" s="444"/>
      <c r="M52" s="444"/>
      <c r="N52" s="444"/>
      <c r="O52" s="444"/>
      <c r="P52" s="444"/>
      <c r="Q52" s="444"/>
      <c r="R52" s="45"/>
      <c r="S52" s="45"/>
      <c r="T52" s="45"/>
      <c r="U52" s="45"/>
      <c r="V52" s="45"/>
      <c r="W52" s="45"/>
      <c r="X52" s="45"/>
      <c r="Y52" s="46"/>
      <c r="Z52" s="46"/>
      <c r="AA52" s="40"/>
      <c r="AB52" s="326" t="str">
        <f xml:space="preserve"> IF(AB49&gt;0,"This cost takes into account a 9,2 % premium reduction but does not include the 9 % sales tax","")</f>
        <v/>
      </c>
      <c r="AC52" s="47"/>
    </row>
    <row r="53" spans="1:29" x14ac:dyDescent="0.25">
      <c r="A53" s="13"/>
      <c r="B53" s="65"/>
      <c r="C53" s="65"/>
      <c r="D53" s="65"/>
      <c r="E53" s="65"/>
      <c r="F53" s="65"/>
      <c r="G53" s="65"/>
      <c r="H53" s="65"/>
      <c r="I53" s="65"/>
      <c r="J53" s="65"/>
      <c r="K53" s="65"/>
      <c r="L53" s="65"/>
      <c r="M53" s="65"/>
      <c r="N53" s="65"/>
      <c r="O53" s="65"/>
      <c r="P53" s="65"/>
      <c r="Q53" s="65"/>
      <c r="R53" s="14"/>
      <c r="S53" s="14"/>
      <c r="T53" s="14"/>
      <c r="U53" s="14"/>
      <c r="V53" s="14"/>
      <c r="W53" s="14"/>
      <c r="X53" s="14"/>
      <c r="Y53" s="48"/>
      <c r="Z53" s="48"/>
      <c r="AA53" s="48"/>
      <c r="AB53" s="48"/>
      <c r="AC53" s="15"/>
    </row>
    <row r="54" spans="1:29" ht="21" x14ac:dyDescent="0.35">
      <c r="A54" s="16"/>
      <c r="B54" s="49" t="s">
        <v>145</v>
      </c>
      <c r="C54" s="49"/>
      <c r="D54" s="17"/>
      <c r="E54" s="17"/>
      <c r="F54" s="17"/>
      <c r="G54" s="17"/>
      <c r="H54" s="17"/>
      <c r="I54" s="17"/>
      <c r="J54" s="17"/>
      <c r="K54" s="17"/>
      <c r="L54" s="17"/>
      <c r="M54" s="17"/>
      <c r="N54" s="17"/>
      <c r="O54" s="17"/>
      <c r="P54" s="17"/>
      <c r="Q54" s="17"/>
      <c r="R54" s="17"/>
      <c r="S54" s="51" t="s">
        <v>146</v>
      </c>
      <c r="T54" s="22"/>
      <c r="U54" s="22"/>
      <c r="V54" s="22"/>
      <c r="W54" s="22"/>
      <c r="X54" s="22"/>
      <c r="Y54" s="22"/>
      <c r="Z54" s="22"/>
      <c r="AA54" s="22"/>
      <c r="AB54" s="22"/>
      <c r="AC54" s="19"/>
    </row>
    <row r="55" spans="1:29" ht="4.5" customHeight="1" thickBot="1" x14ac:dyDescent="0.4">
      <c r="A55" s="16"/>
      <c r="B55" s="17"/>
      <c r="C55" s="49"/>
      <c r="D55" s="17"/>
      <c r="E55" s="17"/>
      <c r="F55" s="17"/>
      <c r="G55" s="17"/>
      <c r="H55" s="17"/>
      <c r="I55" s="17"/>
      <c r="J55" s="17"/>
      <c r="K55" s="17"/>
      <c r="L55" s="17"/>
      <c r="M55" s="17"/>
      <c r="N55" s="17"/>
      <c r="O55" s="17"/>
      <c r="P55" s="17"/>
      <c r="Q55" s="17"/>
      <c r="R55" s="17"/>
      <c r="S55" s="22"/>
      <c r="T55" s="22"/>
      <c r="U55" s="22"/>
      <c r="V55" s="17"/>
      <c r="W55" s="17"/>
      <c r="X55" s="17"/>
      <c r="Y55" s="17"/>
      <c r="Z55" s="22"/>
      <c r="AA55" s="22"/>
      <c r="AB55" s="22"/>
      <c r="AC55" s="19"/>
    </row>
    <row r="56" spans="1:29" ht="21.75" customHeight="1" thickBot="1" x14ac:dyDescent="0.3">
      <c r="A56" s="16"/>
      <c r="B56" s="67" t="s">
        <v>147</v>
      </c>
      <c r="C56" s="67"/>
      <c r="D56" s="17"/>
      <c r="E56" s="17"/>
      <c r="F56" s="17"/>
      <c r="G56" s="17"/>
      <c r="H56" s="17"/>
      <c r="I56" s="17"/>
      <c r="J56" s="17"/>
      <c r="K56" s="17"/>
      <c r="L56" s="17"/>
      <c r="M56" s="17"/>
      <c r="N56" s="17"/>
      <c r="O56" s="17"/>
      <c r="P56" s="17"/>
      <c r="Q56" s="119"/>
      <c r="R56" s="17"/>
      <c r="S56" s="436" t="str">
        <f>IF('Taux anglais'!R19='Taux anglais'!R15,'Taux anglais'!N18,IF('Taux anglais'!R19='Taux anglais'!R16,'Taux anglais'!N17,"NOT AVAILABLE"))</f>
        <v>One time the annual salary</v>
      </c>
      <c r="T56" s="437"/>
      <c r="U56" s="437"/>
      <c r="V56" s="438"/>
      <c r="W56" s="212" t="str">
        <f>IF(ISBLANK(B60),"",IF(COUNTBLANK(Q56:Q58)&lt;2,"You can't choose more than one answer",IF(COUNTBLANK(Q56:Q58)=3,"You have to choose an answer","")))</f>
        <v/>
      </c>
      <c r="X56" s="212"/>
      <c r="Y56" s="68"/>
      <c r="Z56" s="22"/>
      <c r="AA56" s="22"/>
      <c r="AB56" s="22"/>
      <c r="AC56" s="19"/>
    </row>
    <row r="57" spans="1:29" ht="4.5" customHeight="1" thickBot="1" x14ac:dyDescent="0.3">
      <c r="A57" s="16"/>
      <c r="B57" s="67"/>
      <c r="C57" s="67"/>
      <c r="D57" s="17"/>
      <c r="E57" s="17"/>
      <c r="F57" s="17"/>
      <c r="G57" s="17"/>
      <c r="H57" s="17"/>
      <c r="I57" s="17"/>
      <c r="J57" s="17"/>
      <c r="K57" s="17"/>
      <c r="L57" s="17"/>
      <c r="M57" s="17"/>
      <c r="N57" s="17"/>
      <c r="O57" s="17"/>
      <c r="P57" s="17"/>
      <c r="Q57" s="17"/>
      <c r="R57" s="17"/>
      <c r="S57" s="17"/>
      <c r="T57" s="17"/>
      <c r="U57" s="17"/>
      <c r="V57" s="17"/>
      <c r="W57" s="212"/>
      <c r="X57" s="212"/>
      <c r="Y57" s="68"/>
      <c r="Z57" s="22"/>
      <c r="AA57" s="22"/>
      <c r="AB57" s="22"/>
      <c r="AC57" s="19"/>
    </row>
    <row r="58" spans="1:29" ht="21.75" customHeight="1" thickBot="1" x14ac:dyDescent="0.3">
      <c r="A58" s="16"/>
      <c r="B58" s="17" t="s">
        <v>311</v>
      </c>
      <c r="C58" s="67"/>
      <c r="D58" s="17"/>
      <c r="E58" s="17"/>
      <c r="F58" s="17"/>
      <c r="G58" s="17"/>
      <c r="H58" s="17"/>
      <c r="I58" s="17"/>
      <c r="J58" s="17"/>
      <c r="K58" s="17"/>
      <c r="L58" s="17"/>
      <c r="M58" s="17"/>
      <c r="N58" s="17"/>
      <c r="O58" s="17"/>
      <c r="P58" s="17"/>
      <c r="Q58" s="119"/>
      <c r="R58" s="17"/>
      <c r="S58" s="436" t="str">
        <f>IF('Taux anglais'!R19='Taux anglais'!R15,'Taux anglais'!N19,IF('Taux anglais'!R19='Taux anglais'!R16,'Taux anglais'!N18,'Taux anglais'!N16))</f>
        <v>Two times the annual salary</v>
      </c>
      <c r="T58" s="437"/>
      <c r="U58" s="437"/>
      <c r="V58" s="438"/>
      <c r="W58" s="212"/>
      <c r="X58" s="212"/>
      <c r="Y58" s="68"/>
      <c r="Z58" s="22"/>
      <c r="AA58" s="22"/>
      <c r="AB58" s="22"/>
      <c r="AC58" s="19"/>
    </row>
    <row r="59" spans="1:29" ht="3.75" customHeight="1" thickBot="1" x14ac:dyDescent="0.3">
      <c r="A59" s="16"/>
      <c r="B59" s="67"/>
      <c r="C59" s="67"/>
      <c r="D59" s="17"/>
      <c r="E59" s="17"/>
      <c r="F59" s="17"/>
      <c r="G59" s="17"/>
      <c r="H59" s="17"/>
      <c r="I59" s="17"/>
      <c r="J59" s="17"/>
      <c r="K59" s="17"/>
      <c r="L59" s="17"/>
      <c r="M59" s="17"/>
      <c r="N59" s="17"/>
      <c r="O59" s="17"/>
      <c r="P59" s="17"/>
      <c r="Q59" s="69"/>
      <c r="R59" s="70"/>
      <c r="S59" s="70"/>
      <c r="T59" s="17"/>
      <c r="U59" s="17"/>
      <c r="V59" s="22"/>
      <c r="W59" s="22"/>
      <c r="X59" s="17"/>
      <c r="Y59" s="22"/>
      <c r="Z59" s="22"/>
      <c r="AA59" s="22"/>
      <c r="AB59" s="18"/>
      <c r="AC59" s="19"/>
    </row>
    <row r="60" spans="1:29" ht="21.75" customHeight="1" thickBot="1" x14ac:dyDescent="0.3">
      <c r="A60" s="16"/>
      <c r="B60" s="119"/>
      <c r="C60" s="22"/>
      <c r="D60" s="439" t="s">
        <v>143</v>
      </c>
      <c r="E60" s="441"/>
      <c r="F60" s="434" t="str">
        <f>IF(COUNTBLANK(B60:B62)&lt;2,"You can't choose more than one answer",IF(COUNTBLANK(B60:B62)=3,"You have to choose an answer",""))</f>
        <v>You have to choose an answer</v>
      </c>
      <c r="G60" s="434"/>
      <c r="H60" s="434"/>
      <c r="I60" s="68"/>
      <c r="J60" s="68"/>
      <c r="K60" s="68"/>
      <c r="L60" s="17"/>
      <c r="M60" s="17"/>
      <c r="N60" s="17"/>
      <c r="O60" s="17"/>
      <c r="P60" s="17"/>
      <c r="Q60" s="69"/>
      <c r="R60" s="69"/>
      <c r="S60" s="22"/>
      <c r="T60" s="69"/>
      <c r="U60" s="23" t="s">
        <v>265</v>
      </c>
      <c r="V60" s="188">
        <f>MAX(V34,V49)</f>
        <v>0</v>
      </c>
      <c r="W60" s="17"/>
      <c r="X60" s="17"/>
      <c r="Y60" s="22"/>
      <c r="Z60" s="22"/>
      <c r="AA60" s="23"/>
      <c r="AB60" s="18"/>
      <c r="AC60" s="19"/>
    </row>
    <row r="61" spans="1:29" ht="4.5" customHeight="1" thickBot="1" x14ac:dyDescent="0.3">
      <c r="A61" s="16"/>
      <c r="B61" s="395"/>
      <c r="C61" s="22"/>
      <c r="D61" s="201"/>
      <c r="E61" s="124"/>
      <c r="F61" s="434"/>
      <c r="G61" s="434"/>
      <c r="H61" s="434"/>
      <c r="I61" s="68"/>
      <c r="J61" s="68"/>
      <c r="K61" s="68"/>
      <c r="L61" s="17"/>
      <c r="M61" s="17"/>
      <c r="N61" s="17"/>
      <c r="O61" s="17"/>
      <c r="P61" s="17"/>
      <c r="Q61" s="69"/>
      <c r="R61" s="69"/>
      <c r="S61" s="22"/>
      <c r="T61" s="69"/>
      <c r="U61" s="71"/>
      <c r="V61" s="72"/>
      <c r="W61" s="284"/>
      <c r="X61" s="17"/>
      <c r="Y61" s="22"/>
      <c r="Z61" s="22"/>
      <c r="AA61" s="23"/>
      <c r="AB61" s="18"/>
      <c r="AC61" s="19"/>
    </row>
    <row r="62" spans="1:29" ht="21.75" customHeight="1" thickBot="1" x14ac:dyDescent="0.3">
      <c r="A62" s="16"/>
      <c r="B62" s="119"/>
      <c r="C62" s="22"/>
      <c r="D62" s="439" t="s">
        <v>144</v>
      </c>
      <c r="E62" s="441"/>
      <c r="F62" s="434"/>
      <c r="G62" s="434"/>
      <c r="H62" s="434"/>
      <c r="I62" s="68"/>
      <c r="J62" s="68"/>
      <c r="K62" s="68"/>
      <c r="L62" s="17"/>
      <c r="M62" s="17"/>
      <c r="N62" s="17"/>
      <c r="O62" s="17"/>
      <c r="P62" s="17"/>
      <c r="Q62" s="69"/>
      <c r="R62" s="69"/>
      <c r="S62" s="22"/>
      <c r="T62" s="69"/>
      <c r="U62" s="71" t="s">
        <v>325</v>
      </c>
      <c r="V62" s="272">
        <f>'Taux anglais'!Q18</f>
        <v>0</v>
      </c>
      <c r="W62" s="212" t="str">
        <f>IF(AND(V60&lt;75000,'Taux anglais'!R19='Taux anglais'!R15),"Lowest Basic Life insurable amount is 75 000$","")</f>
        <v>Lowest Basic Life insurable amount is 75 000$</v>
      </c>
      <c r="X62" s="17"/>
      <c r="Y62" s="22"/>
      <c r="Z62" s="17"/>
      <c r="AA62" s="17"/>
      <c r="AB62" s="17"/>
      <c r="AC62" s="19"/>
    </row>
    <row r="63" spans="1:29" ht="3.75" customHeight="1" x14ac:dyDescent="0.25">
      <c r="A63" s="16"/>
      <c r="B63" s="300"/>
      <c r="C63" s="22"/>
      <c r="D63" s="21"/>
      <c r="E63" s="17"/>
      <c r="F63" s="17"/>
      <c r="G63" s="17"/>
      <c r="H63" s="17"/>
      <c r="I63" s="17"/>
      <c r="J63" s="17"/>
      <c r="K63" s="17"/>
      <c r="L63" s="17"/>
      <c r="M63" s="17"/>
      <c r="N63" s="17"/>
      <c r="O63" s="17"/>
      <c r="P63" s="17"/>
      <c r="Q63" s="69"/>
      <c r="R63" s="69"/>
      <c r="S63" s="22"/>
      <c r="T63" s="73"/>
      <c r="U63" s="17"/>
      <c r="V63" s="71"/>
      <c r="W63" s="284"/>
      <c r="X63" s="17"/>
      <c r="Y63" s="22"/>
      <c r="Z63" s="17"/>
      <c r="AA63" s="17"/>
      <c r="AB63" s="17"/>
      <c r="AC63" s="19"/>
    </row>
    <row r="64" spans="1:29" ht="16.5" thickBot="1" x14ac:dyDescent="0.3">
      <c r="A64" s="16"/>
      <c r="B64" s="22"/>
      <c r="C64" s="22"/>
      <c r="D64" s="17"/>
      <c r="E64" s="17"/>
      <c r="F64" s="17"/>
      <c r="G64" s="305" t="s">
        <v>150</v>
      </c>
      <c r="H64" s="17"/>
      <c r="I64" s="17"/>
      <c r="J64" s="17"/>
      <c r="K64" s="22"/>
      <c r="L64" s="22"/>
      <c r="M64" s="22"/>
      <c r="N64" s="22"/>
      <c r="O64" s="22"/>
      <c r="P64" s="22"/>
      <c r="Q64" s="22"/>
      <c r="R64" s="17"/>
      <c r="S64" s="17"/>
      <c r="T64" s="17"/>
      <c r="U64" s="17"/>
      <c r="V64" s="71"/>
      <c r="W64" s="284"/>
      <c r="X64" s="71"/>
      <c r="Y64" s="22"/>
      <c r="Z64" s="17"/>
      <c r="AA64" s="17"/>
      <c r="AB64" s="17"/>
      <c r="AC64" s="19"/>
    </row>
    <row r="65" spans="1:29" ht="21.75" customHeight="1" thickBot="1" x14ac:dyDescent="0.3">
      <c r="A65" s="16"/>
      <c r="B65" s="17"/>
      <c r="C65" s="300"/>
      <c r="D65" s="439" t="str">
        <f>'Taux anglais'!R19</f>
        <v>Under age 65</v>
      </c>
      <c r="E65" s="440"/>
      <c r="F65" s="440"/>
      <c r="G65" s="440"/>
      <c r="H65" s="440"/>
      <c r="I65" s="440"/>
      <c r="J65" s="440"/>
      <c r="K65" s="441"/>
      <c r="L65" s="68"/>
      <c r="M65" s="70"/>
      <c r="N65" s="70"/>
      <c r="O65" s="70"/>
      <c r="P65" s="70"/>
      <c r="Q65" s="70"/>
      <c r="R65" s="70"/>
      <c r="S65" s="70"/>
      <c r="T65" s="73"/>
      <c r="U65" s="17"/>
      <c r="V65" s="71"/>
      <c r="W65" s="71"/>
      <c r="X65" s="71"/>
      <c r="Y65" s="71"/>
      <c r="Z65" s="18"/>
      <c r="AA65" s="23" t="s">
        <v>320</v>
      </c>
      <c r="AB65" s="216">
        <f>IF(AND(F60="",W56=""),ROUND(V67*V62/1000,2)+V69,0)</f>
        <v>0</v>
      </c>
      <c r="AC65" s="19"/>
    </row>
    <row r="66" spans="1:29" ht="4.5" customHeight="1" thickBot="1" x14ac:dyDescent="0.3">
      <c r="A66" s="16"/>
      <c r="B66" s="199"/>
      <c r="C66" s="23"/>
      <c r="D66" s="17"/>
      <c r="E66" s="17"/>
      <c r="F66" s="17"/>
      <c r="G66" s="17"/>
      <c r="H66" s="17"/>
      <c r="I66" s="17"/>
      <c r="J66" s="17"/>
      <c r="K66" s="17"/>
      <c r="L66" s="68"/>
      <c r="M66" s="17"/>
      <c r="N66" s="17"/>
      <c r="O66" s="17"/>
      <c r="P66" s="17"/>
      <c r="Q66" s="17"/>
      <c r="R66" s="17"/>
      <c r="S66" s="17"/>
      <c r="T66" s="17"/>
      <c r="U66" s="74" t="s">
        <v>165</v>
      </c>
      <c r="V66" s="75"/>
      <c r="W66" s="17"/>
      <c r="X66" s="17"/>
      <c r="Y66" s="22"/>
      <c r="Z66" s="17"/>
      <c r="AA66" s="17"/>
      <c r="AB66" s="22"/>
      <c r="AC66" s="19"/>
    </row>
    <row r="67" spans="1:29" ht="21.75" customHeight="1" thickBot="1" x14ac:dyDescent="0.3">
      <c r="A67" s="16"/>
      <c r="B67" s="17"/>
      <c r="C67" s="17"/>
      <c r="D67" s="17"/>
      <c r="E67" s="17"/>
      <c r="F67" s="17"/>
      <c r="G67" s="17"/>
      <c r="H67" s="17"/>
      <c r="I67" s="17"/>
      <c r="J67" s="17"/>
      <c r="K67" s="17"/>
      <c r="L67" s="68"/>
      <c r="M67" s="70"/>
      <c r="N67" s="213"/>
      <c r="O67" s="213"/>
      <c r="P67" s="213"/>
      <c r="Q67" s="213"/>
      <c r="R67" s="213"/>
      <c r="S67" s="213"/>
      <c r="T67" s="70"/>
      <c r="U67" s="213" t="s">
        <v>342</v>
      </c>
      <c r="V67" s="223">
        <f>'Taux anglais'!L20</f>
        <v>0</v>
      </c>
      <c r="W67" s="71"/>
      <c r="X67" s="71"/>
      <c r="Y67" s="71"/>
      <c r="Z67" s="22"/>
      <c r="AA67" s="23" t="s">
        <v>321</v>
      </c>
      <c r="AB67" s="216">
        <f>26*AB65</f>
        <v>0</v>
      </c>
      <c r="AC67" s="19"/>
    </row>
    <row r="68" spans="1:29" ht="4.5" customHeight="1" thickBot="1" x14ac:dyDescent="0.3">
      <c r="A68" s="16"/>
      <c r="B68" s="17"/>
      <c r="C68" s="17"/>
      <c r="D68" s="17"/>
      <c r="E68" s="17"/>
      <c r="F68" s="17"/>
      <c r="G68" s="17"/>
      <c r="H68" s="17"/>
      <c r="I68" s="17"/>
      <c r="J68" s="17"/>
      <c r="K68" s="17"/>
      <c r="L68" s="68"/>
      <c r="M68" s="17"/>
      <c r="N68" s="17"/>
      <c r="O68" s="17"/>
      <c r="P68" s="17"/>
      <c r="Q68" s="17"/>
      <c r="R68" s="17"/>
      <c r="S68" s="17"/>
      <c r="T68" s="70"/>
      <c r="U68" s="17"/>
      <c r="V68" s="17"/>
      <c r="W68" s="17"/>
      <c r="X68" s="17"/>
      <c r="Y68" s="22"/>
      <c r="Z68" s="17"/>
      <c r="AA68" s="23"/>
      <c r="AB68" s="71"/>
      <c r="AC68" s="19"/>
    </row>
    <row r="69" spans="1:29" ht="21.75" customHeight="1" thickBot="1" x14ac:dyDescent="0.3">
      <c r="A69" s="16"/>
      <c r="B69" s="17"/>
      <c r="C69" s="17"/>
      <c r="D69" s="17"/>
      <c r="E69" s="17"/>
      <c r="F69" s="17"/>
      <c r="G69" s="17"/>
      <c r="H69" s="17"/>
      <c r="I69" s="17"/>
      <c r="J69" s="17"/>
      <c r="K69" s="17"/>
      <c r="L69" s="68"/>
      <c r="M69" s="70"/>
      <c r="N69" s="84"/>
      <c r="O69" s="84"/>
      <c r="P69" s="84"/>
      <c r="Q69" s="84"/>
      <c r="R69" s="84"/>
      <c r="S69" s="84"/>
      <c r="T69" s="70"/>
      <c r="U69" s="23" t="s">
        <v>326</v>
      </c>
      <c r="V69" s="224">
        <f>IF('Taux anglais'!L18='Taux anglais'!L15,'Nouveau taux'!M6,0)</f>
        <v>0</v>
      </c>
      <c r="W69" s="71"/>
      <c r="X69" s="71"/>
      <c r="Y69" s="71"/>
      <c r="Z69" s="22"/>
      <c r="AA69" s="17"/>
      <c r="AB69" s="324" t="str">
        <f xml:space="preserve"> IF(AB65&gt;0,"This cost takes into account a 50 % premium reduction but does not include the 9 % sales tax","")</f>
        <v/>
      </c>
      <c r="AC69" s="19"/>
    </row>
    <row r="70" spans="1:29" ht="4.5" customHeight="1" x14ac:dyDescent="0.25">
      <c r="A70" s="54"/>
      <c r="B70" s="78" t="s">
        <v>100</v>
      </c>
      <c r="C70" s="78"/>
      <c r="D70" s="55"/>
      <c r="E70" s="55"/>
      <c r="F70" s="55"/>
      <c r="G70" s="55"/>
      <c r="H70" s="55"/>
      <c r="I70" s="55"/>
      <c r="J70" s="55"/>
      <c r="K70" s="55"/>
      <c r="L70" s="55"/>
      <c r="M70" s="55"/>
      <c r="N70" s="55"/>
      <c r="O70" s="55"/>
      <c r="P70" s="55"/>
      <c r="Q70" s="55"/>
      <c r="R70" s="55"/>
      <c r="S70" s="55"/>
      <c r="T70" s="55"/>
      <c r="U70" s="55"/>
      <c r="V70" s="55"/>
      <c r="W70" s="55"/>
      <c r="X70" s="55"/>
      <c r="Y70" s="56"/>
      <c r="Z70" s="56"/>
      <c r="AA70" s="56"/>
      <c r="AB70" s="56"/>
      <c r="AC70" s="57"/>
    </row>
    <row r="71" spans="1:29" ht="21" x14ac:dyDescent="0.35">
      <c r="A71" s="25"/>
      <c r="B71" s="31" t="s">
        <v>151</v>
      </c>
      <c r="C71" s="31"/>
      <c r="D71" s="33"/>
      <c r="E71" s="33"/>
      <c r="F71" s="33"/>
      <c r="G71" s="33"/>
      <c r="H71" s="33"/>
      <c r="I71" s="33"/>
      <c r="J71" s="33"/>
      <c r="K71" s="33"/>
      <c r="L71" s="33"/>
      <c r="M71" s="33"/>
      <c r="N71" s="33"/>
      <c r="O71" s="33"/>
      <c r="P71" s="33"/>
      <c r="Q71" s="33"/>
      <c r="R71" s="33"/>
      <c r="S71" s="33"/>
      <c r="T71" s="33"/>
      <c r="U71" s="33"/>
      <c r="V71" s="79"/>
      <c r="W71" s="33"/>
      <c r="X71" s="33"/>
      <c r="Y71" s="28"/>
      <c r="Z71" s="34"/>
      <c r="AA71" s="34"/>
      <c r="AB71" s="34"/>
      <c r="AC71" s="35"/>
    </row>
    <row r="72" spans="1:29" ht="21.75" thickBot="1" x14ac:dyDescent="0.4">
      <c r="A72" s="30"/>
      <c r="B72" s="33" t="s">
        <v>309</v>
      </c>
      <c r="C72" s="36"/>
      <c r="D72" s="34"/>
      <c r="E72" s="33"/>
      <c r="F72" s="33"/>
      <c r="G72" s="33"/>
      <c r="H72" s="33"/>
      <c r="I72" s="33"/>
      <c r="J72" s="33"/>
      <c r="K72" s="33"/>
      <c r="L72" s="33"/>
      <c r="M72" s="33"/>
      <c r="N72" s="33"/>
      <c r="O72" s="33"/>
      <c r="P72" s="33"/>
      <c r="Q72" s="33"/>
      <c r="R72" s="33"/>
      <c r="S72" s="33"/>
      <c r="T72" s="33"/>
      <c r="U72" s="33"/>
      <c r="V72" s="79"/>
      <c r="W72" s="33"/>
      <c r="X72" s="33"/>
      <c r="Y72" s="34"/>
      <c r="Z72" s="34"/>
      <c r="AA72" s="34"/>
      <c r="AB72" s="34"/>
      <c r="AC72" s="35"/>
    </row>
    <row r="73" spans="1:29" ht="21.75" customHeight="1" thickBot="1" x14ac:dyDescent="0.3">
      <c r="A73" s="30"/>
      <c r="B73" s="119"/>
      <c r="C73" s="33"/>
      <c r="D73" s="454" t="s">
        <v>143</v>
      </c>
      <c r="E73" s="455"/>
      <c r="F73" s="442" t="str">
        <f>IF(COUNTBLANK(B73:B75)&lt;2,"You can't choose more than one answer",IF(COUNTBLANK(B73:B75)=3,"You have to choose an answer",""))</f>
        <v>You have to choose an answer</v>
      </c>
      <c r="G73" s="442"/>
      <c r="H73" s="442"/>
      <c r="I73" s="442"/>
      <c r="J73" s="442"/>
      <c r="K73" s="442"/>
      <c r="L73" s="33"/>
      <c r="M73" s="33"/>
      <c r="N73" s="33"/>
      <c r="O73" s="33"/>
      <c r="P73" s="33"/>
      <c r="Q73" s="79"/>
      <c r="R73" s="33"/>
      <c r="S73" s="33"/>
      <c r="T73" s="60"/>
      <c r="U73" s="33"/>
      <c r="V73" s="61"/>
      <c r="W73" s="33"/>
      <c r="X73" s="33"/>
      <c r="Y73" s="34"/>
      <c r="Z73" s="34"/>
      <c r="AA73" s="40" t="s">
        <v>320</v>
      </c>
      <c r="AB73" s="264">
        <f>IF(F73="",'Taux anglais'!L30,0)</f>
        <v>0</v>
      </c>
      <c r="AC73" s="35"/>
    </row>
    <row r="74" spans="1:29" ht="4.5" customHeight="1" thickBot="1" x14ac:dyDescent="0.3">
      <c r="A74" s="30"/>
      <c r="B74" s="202"/>
      <c r="C74" s="33"/>
      <c r="D74" s="207"/>
      <c r="E74" s="207"/>
      <c r="F74" s="442"/>
      <c r="G74" s="442"/>
      <c r="H74" s="442"/>
      <c r="I74" s="442"/>
      <c r="J74" s="442"/>
      <c r="K74" s="442"/>
      <c r="L74" s="33"/>
      <c r="M74" s="33"/>
      <c r="N74" s="33"/>
      <c r="O74" s="33"/>
      <c r="P74" s="33"/>
      <c r="Q74" s="33"/>
      <c r="R74" s="33"/>
      <c r="S74" s="33"/>
      <c r="T74" s="33"/>
      <c r="U74" s="33"/>
      <c r="V74" s="61"/>
      <c r="W74" s="33"/>
      <c r="X74" s="33"/>
      <c r="Y74" s="34"/>
      <c r="Z74" s="34"/>
      <c r="AA74" s="40"/>
      <c r="AB74" s="34"/>
      <c r="AC74" s="35"/>
    </row>
    <row r="75" spans="1:29" ht="21.75" customHeight="1" thickBot="1" x14ac:dyDescent="0.3">
      <c r="A75" s="30"/>
      <c r="B75" s="119"/>
      <c r="C75" s="33"/>
      <c r="D75" s="454" t="s">
        <v>144</v>
      </c>
      <c r="E75" s="455"/>
      <c r="F75" s="442"/>
      <c r="G75" s="442"/>
      <c r="H75" s="442"/>
      <c r="I75" s="442"/>
      <c r="J75" s="442"/>
      <c r="K75" s="442"/>
      <c r="L75" s="33"/>
      <c r="M75" s="33"/>
      <c r="N75" s="33"/>
      <c r="O75" s="33"/>
      <c r="P75" s="33"/>
      <c r="Q75" s="33"/>
      <c r="R75" s="33"/>
      <c r="S75" s="33"/>
      <c r="T75" s="485"/>
      <c r="U75" s="485"/>
      <c r="V75" s="485"/>
      <c r="W75" s="33"/>
      <c r="X75" s="33"/>
      <c r="Y75" s="34"/>
      <c r="Z75" s="34"/>
      <c r="AA75" s="40" t="s">
        <v>321</v>
      </c>
      <c r="AB75" s="264">
        <f>26*AB73</f>
        <v>0</v>
      </c>
      <c r="AC75" s="35"/>
    </row>
    <row r="76" spans="1:29" ht="15.75" x14ac:dyDescent="0.25">
      <c r="A76" s="30"/>
      <c r="B76" s="34"/>
      <c r="C76" s="33"/>
      <c r="D76" s="33"/>
      <c r="E76" s="33"/>
      <c r="F76" s="33"/>
      <c r="G76" s="81"/>
      <c r="H76" s="81"/>
      <c r="I76" s="81"/>
      <c r="J76" s="81"/>
      <c r="K76" s="81"/>
      <c r="L76" s="81"/>
      <c r="M76" s="33"/>
      <c r="N76" s="33"/>
      <c r="O76" s="33"/>
      <c r="P76" s="33"/>
      <c r="Q76" s="33"/>
      <c r="R76" s="33"/>
      <c r="S76" s="33"/>
      <c r="T76" s="33"/>
      <c r="U76" s="33"/>
      <c r="V76" s="61"/>
      <c r="W76" s="33"/>
      <c r="X76" s="33"/>
      <c r="Y76" s="34"/>
      <c r="Z76" s="34"/>
      <c r="AA76" s="34"/>
      <c r="AB76" s="326" t="str">
        <f xml:space="preserve"> IF(AB73&gt;0,"This cost takes into account a 50 % premium reduction but does not include the 9 % sales tax","")</f>
        <v/>
      </c>
      <c r="AC76" s="35"/>
    </row>
    <row r="77" spans="1:29" ht="15.75" x14ac:dyDescent="0.25">
      <c r="A77" s="30"/>
      <c r="B77" s="33"/>
      <c r="C77" s="33"/>
      <c r="D77" s="33"/>
      <c r="E77" s="33"/>
      <c r="F77" s="37"/>
      <c r="G77" s="114" t="s">
        <v>165</v>
      </c>
      <c r="H77" s="81"/>
      <c r="I77" s="81"/>
      <c r="J77" s="81"/>
      <c r="K77" s="81"/>
      <c r="L77" s="81"/>
      <c r="M77" s="33"/>
      <c r="N77" s="33"/>
      <c r="O77" s="33"/>
      <c r="P77" s="33"/>
      <c r="Q77" s="33"/>
      <c r="R77" s="33"/>
      <c r="S77" s="33"/>
      <c r="T77" s="33"/>
      <c r="U77" s="33"/>
      <c r="V77" s="79"/>
      <c r="W77" s="33"/>
      <c r="X77" s="33"/>
      <c r="Y77" s="34"/>
      <c r="Z77" s="34"/>
      <c r="AA77" s="33"/>
      <c r="AB77" s="33"/>
      <c r="AC77" s="35"/>
    </row>
    <row r="78" spans="1:29" ht="3.75" customHeight="1" x14ac:dyDescent="0.25">
      <c r="A78" s="13"/>
      <c r="B78" s="65"/>
      <c r="C78" s="65"/>
      <c r="D78" s="65"/>
      <c r="E78" s="65"/>
      <c r="F78" s="65"/>
      <c r="G78" s="65"/>
      <c r="H78" s="65"/>
      <c r="I78" s="65"/>
      <c r="J78" s="65"/>
      <c r="K78" s="65"/>
      <c r="L78" s="65"/>
      <c r="M78" s="65"/>
      <c r="N78" s="65"/>
      <c r="O78" s="65"/>
      <c r="P78" s="65"/>
      <c r="Q78" s="65"/>
      <c r="R78" s="14"/>
      <c r="S78" s="14"/>
      <c r="T78" s="14"/>
      <c r="U78" s="14"/>
      <c r="V78" s="14"/>
      <c r="W78" s="14"/>
      <c r="X78" s="14"/>
      <c r="Y78" s="48"/>
      <c r="Z78" s="48"/>
      <c r="AA78" s="48"/>
      <c r="AB78" s="48"/>
      <c r="AC78" s="15"/>
    </row>
    <row r="79" spans="1:29" ht="21.75" thickBot="1" x14ac:dyDescent="0.4">
      <c r="A79" s="16"/>
      <c r="B79" s="49" t="s">
        <v>152</v>
      </c>
      <c r="C79" s="49"/>
      <c r="D79" s="17"/>
      <c r="E79" s="17"/>
      <c r="F79" s="17"/>
      <c r="G79" s="17"/>
      <c r="H79" s="17"/>
      <c r="I79" s="17"/>
      <c r="J79" s="17"/>
      <c r="K79" s="17"/>
      <c r="L79" s="17"/>
      <c r="M79" s="17"/>
      <c r="N79" s="17"/>
      <c r="O79" s="17"/>
      <c r="P79" s="17"/>
      <c r="Q79" s="17"/>
      <c r="R79" s="53"/>
      <c r="S79" s="17"/>
      <c r="T79" s="17"/>
      <c r="U79" s="17"/>
      <c r="V79" s="17"/>
      <c r="W79" s="17"/>
      <c r="X79" s="17"/>
      <c r="Y79" s="22"/>
      <c r="Z79" s="22"/>
      <c r="AA79" s="22"/>
      <c r="AB79" s="22"/>
      <c r="AC79" s="19"/>
    </row>
    <row r="80" spans="1:29" ht="21.75" customHeight="1" thickBot="1" x14ac:dyDescent="0.4">
      <c r="A80" s="16"/>
      <c r="B80" s="20" t="s">
        <v>153</v>
      </c>
      <c r="C80" s="20"/>
      <c r="D80" s="17"/>
      <c r="E80" s="17"/>
      <c r="F80" s="17"/>
      <c r="G80" s="17"/>
      <c r="H80" s="17"/>
      <c r="I80" s="17"/>
      <c r="J80" s="17"/>
      <c r="K80" s="17"/>
      <c r="L80" s="17"/>
      <c r="M80" s="17"/>
      <c r="N80" s="17"/>
      <c r="O80" s="213"/>
      <c r="P80" s="213"/>
      <c r="Q80" s="213"/>
      <c r="R80" s="213"/>
      <c r="S80" s="213"/>
      <c r="T80" s="212"/>
      <c r="U80" s="213" t="s">
        <v>332</v>
      </c>
      <c r="V80" s="268">
        <f>'Taux anglais'!R52</f>
        <v>0</v>
      </c>
      <c r="W80" s="17"/>
      <c r="X80" s="23" t="s">
        <v>155</v>
      </c>
      <c r="Y80" s="203">
        <f>IF(AND('Taux anglais'!V45&gt;0,'Taux anglais'!W48&gt;0),0,'Taux anglais'!V45+'Taux anglais'!W48)</f>
        <v>0</v>
      </c>
      <c r="Z80" s="82"/>
      <c r="AA80" s="22"/>
      <c r="AB80" s="22"/>
      <c r="AC80" s="19"/>
    </row>
    <row r="81" spans="1:29" ht="21" x14ac:dyDescent="0.35">
      <c r="A81" s="16"/>
      <c r="B81" s="20"/>
      <c r="C81" s="20"/>
      <c r="D81" s="17"/>
      <c r="E81" s="17"/>
      <c r="F81" s="17"/>
      <c r="G81" s="17"/>
      <c r="H81" s="17"/>
      <c r="I81" s="17"/>
      <c r="J81" s="17"/>
      <c r="K81" s="17"/>
      <c r="L81" s="17"/>
      <c r="M81" s="17"/>
      <c r="N81" s="17"/>
      <c r="O81" s="83"/>
      <c r="P81" s="83"/>
      <c r="Q81" s="83"/>
      <c r="R81" s="83"/>
      <c r="S81" s="83"/>
      <c r="T81" s="83"/>
      <c r="U81" s="73"/>
      <c r="V81" s="17"/>
      <c r="W81" s="17"/>
      <c r="X81" s="23"/>
      <c r="Y81" s="82"/>
      <c r="Z81" s="82"/>
      <c r="AA81" s="22"/>
      <c r="AB81" s="22"/>
      <c r="AC81" s="19"/>
    </row>
    <row r="82" spans="1:29" ht="15.75" thickBot="1" x14ac:dyDescent="0.3">
      <c r="A82" s="16"/>
      <c r="B82" s="435" t="s">
        <v>309</v>
      </c>
      <c r="C82" s="435"/>
      <c r="D82" s="435"/>
      <c r="E82" s="435"/>
      <c r="F82" s="435"/>
      <c r="G82" s="435"/>
      <c r="H82" s="435"/>
      <c r="I82" s="17" t="s">
        <v>156</v>
      </c>
      <c r="J82" s="17"/>
      <c r="K82" s="17"/>
      <c r="L82" s="17"/>
      <c r="M82" s="17"/>
      <c r="N82" s="17"/>
      <c r="O82" s="17"/>
      <c r="P82" s="17"/>
      <c r="Q82" s="17"/>
      <c r="R82" s="465" t="s">
        <v>328</v>
      </c>
      <c r="S82" s="465"/>
      <c r="T82" s="465"/>
      <c r="U82" s="465"/>
      <c r="V82" s="465"/>
      <c r="W82" s="465"/>
      <c r="X82" s="465"/>
      <c r="Y82" s="22"/>
      <c r="Z82" s="22"/>
      <c r="AA82" s="22"/>
      <c r="AB82" s="22"/>
      <c r="AC82" s="19"/>
    </row>
    <row r="83" spans="1:29" ht="21.75" customHeight="1" thickBot="1" x14ac:dyDescent="0.3">
      <c r="A83" s="16"/>
      <c r="B83" s="119"/>
      <c r="C83" s="17"/>
      <c r="D83" s="439" t="s">
        <v>143</v>
      </c>
      <c r="E83" s="441"/>
      <c r="F83" s="434" t="str">
        <f>IF(COUNTBLANK(B83:B85)&lt;2,"You can't choose more than one answer",IF(COUNTBLANK(B83:B85)=3,"You have to choose an answer",""))</f>
        <v>You have to choose an answer</v>
      </c>
      <c r="G83" s="434"/>
      <c r="H83" s="434"/>
      <c r="I83" s="119"/>
      <c r="J83" s="17"/>
      <c r="K83" s="436" t="s">
        <v>157</v>
      </c>
      <c r="L83" s="438"/>
      <c r="M83" s="434" t="str">
        <f>IF(ISBLANK(B83),"",IF(COUNTBLANK(I83:I85)&lt;2,"You can't choose more than one answer",IF(COUNTBLANK(I83:I85)=3,"You have to choose an answer","")))</f>
        <v/>
      </c>
      <c r="N83" s="434"/>
      <c r="O83" s="434"/>
      <c r="P83" s="212"/>
      <c r="Q83" s="212"/>
      <c r="R83" s="85"/>
      <c r="S83" s="22"/>
      <c r="T83" s="225"/>
      <c r="U83" s="493" t="s">
        <v>327</v>
      </c>
      <c r="V83" s="494"/>
      <c r="W83" s="495"/>
      <c r="X83" s="203">
        <f>IF(OR(T83=1,T83=2,T83=3,T83=4,T83=5,T83=6,T83=7),T83*20000,0)</f>
        <v>0</v>
      </c>
      <c r="Y83" s="496" t="str">
        <f>IF(AND(X83&gt;0,X90&gt;0),"If you change the amount of insurance you already have, you must only take units of $25 000.","")</f>
        <v/>
      </c>
      <c r="Z83" s="496"/>
      <c r="AA83" s="496"/>
      <c r="AB83" s="22"/>
      <c r="AC83" s="19"/>
    </row>
    <row r="84" spans="1:29" ht="4.5" customHeight="1" thickBot="1" x14ac:dyDescent="0.3">
      <c r="A84" s="16"/>
      <c r="B84" s="199"/>
      <c r="C84" s="23"/>
      <c r="D84" s="124"/>
      <c r="E84" s="124"/>
      <c r="F84" s="434"/>
      <c r="G84" s="434"/>
      <c r="H84" s="434"/>
      <c r="I84" s="199"/>
      <c r="J84" s="17"/>
      <c r="K84" s="51"/>
      <c r="L84" s="51"/>
      <c r="M84" s="434"/>
      <c r="N84" s="434"/>
      <c r="O84" s="434"/>
      <c r="P84" s="212"/>
      <c r="Q84" s="212"/>
      <c r="R84" s="86"/>
      <c r="S84" s="17"/>
      <c r="T84" s="17"/>
      <c r="U84" s="17"/>
      <c r="V84" s="17"/>
      <c r="W84" s="17"/>
      <c r="X84" s="17"/>
      <c r="Y84" s="496"/>
      <c r="Z84" s="496"/>
      <c r="AA84" s="496"/>
      <c r="AB84" s="22"/>
      <c r="AC84" s="19"/>
    </row>
    <row r="85" spans="1:29" ht="21.75" customHeight="1" thickBot="1" x14ac:dyDescent="0.3">
      <c r="A85" s="16"/>
      <c r="B85" s="119"/>
      <c r="C85" s="17"/>
      <c r="D85" s="439" t="s">
        <v>144</v>
      </c>
      <c r="E85" s="441"/>
      <c r="F85" s="434"/>
      <c r="G85" s="434"/>
      <c r="H85" s="434"/>
      <c r="I85" s="119"/>
      <c r="J85" s="17"/>
      <c r="K85" s="436" t="s">
        <v>158</v>
      </c>
      <c r="L85" s="438"/>
      <c r="M85" s="434"/>
      <c r="N85" s="434"/>
      <c r="O85" s="434"/>
      <c r="P85" s="212"/>
      <c r="Q85" s="212"/>
      <c r="R85" s="86"/>
      <c r="S85" s="17"/>
      <c r="T85" s="17"/>
      <c r="U85" s="17"/>
      <c r="V85" s="17"/>
      <c r="W85" s="17"/>
      <c r="X85" s="17"/>
      <c r="Y85" s="496"/>
      <c r="Z85" s="496"/>
      <c r="AA85" s="496"/>
      <c r="AB85" s="22"/>
      <c r="AC85" s="19"/>
    </row>
    <row r="86" spans="1:29" ht="6.4" customHeight="1" x14ac:dyDescent="0.25">
      <c r="A86" s="16"/>
      <c r="B86" s="22"/>
      <c r="C86" s="23"/>
      <c r="D86" s="17"/>
      <c r="E86" s="17"/>
      <c r="F86" s="17"/>
      <c r="G86" s="17"/>
      <c r="H86" s="17"/>
      <c r="I86" s="17"/>
      <c r="J86" s="17"/>
      <c r="K86" s="51"/>
      <c r="L86" s="51"/>
      <c r="M86" s="17"/>
      <c r="N86" s="68"/>
      <c r="O86" s="68"/>
      <c r="P86" s="68"/>
      <c r="Q86" s="68"/>
      <c r="R86" s="86"/>
      <c r="S86" s="17"/>
      <c r="T86" s="17"/>
      <c r="U86" s="17"/>
      <c r="V86" s="17"/>
      <c r="W86" s="17"/>
      <c r="X86" s="17"/>
      <c r="Y86" s="429"/>
      <c r="Z86" s="429"/>
      <c r="AA86" s="22"/>
      <c r="AB86" s="22"/>
      <c r="AC86" s="19"/>
    </row>
    <row r="87" spans="1:29" ht="15.75" x14ac:dyDescent="0.25">
      <c r="A87" s="16"/>
      <c r="B87" s="397" t="str">
        <f>IF(AND((OR(B83="x",B83="X")),OR(NOT(OR(Q58="x",Q58="X")),NOT(OR(B60="x",B60="X")))),"You must take out maximum of the basic life coverage in order to add optional life insurance","")</f>
        <v/>
      </c>
      <c r="C87" s="23"/>
      <c r="D87" s="17"/>
      <c r="E87" s="17"/>
      <c r="F87" s="17"/>
      <c r="G87" s="17"/>
      <c r="H87" s="17"/>
      <c r="I87" s="17"/>
      <c r="J87" s="17"/>
      <c r="K87" s="51"/>
      <c r="L87" s="51"/>
      <c r="M87" s="17"/>
      <c r="N87" s="68"/>
      <c r="O87" s="68"/>
      <c r="P87" s="68"/>
      <c r="Q87" s="68"/>
      <c r="R87" s="86"/>
      <c r="S87" s="17"/>
      <c r="T87" s="17"/>
      <c r="U87" s="17"/>
      <c r="V87" s="17"/>
      <c r="W87" s="17"/>
      <c r="X87" s="17"/>
      <c r="Y87" s="429"/>
      <c r="Z87" s="429"/>
      <c r="AA87" s="22"/>
      <c r="AB87" s="22"/>
      <c r="AC87" s="19"/>
    </row>
    <row r="88" spans="1:29" ht="15.75" customHeight="1" x14ac:dyDescent="0.25">
      <c r="A88" s="16"/>
      <c r="B88" s="17"/>
      <c r="C88" s="17"/>
      <c r="D88" s="17"/>
      <c r="E88" s="17"/>
      <c r="F88" s="17"/>
      <c r="G88" s="17"/>
      <c r="H88" s="17"/>
      <c r="I88" s="17" t="s">
        <v>156</v>
      </c>
      <c r="J88" s="17"/>
      <c r="K88" s="21"/>
      <c r="L88" s="21"/>
      <c r="M88" s="85"/>
      <c r="N88" s="68"/>
      <c r="O88" s="68"/>
      <c r="P88" s="68"/>
      <c r="Q88" s="68"/>
      <c r="R88" s="465" t="s">
        <v>355</v>
      </c>
      <c r="S88" s="465"/>
      <c r="T88" s="465"/>
      <c r="U88" s="465"/>
      <c r="V88" s="465"/>
      <c r="W88" s="465"/>
      <c r="X88" s="465"/>
      <c r="Y88" s="465"/>
      <c r="Z88" s="465"/>
      <c r="AA88" s="465"/>
      <c r="AB88" s="22"/>
      <c r="AC88" s="19"/>
    </row>
    <row r="89" spans="1:29" ht="3.75" customHeight="1" thickBot="1" x14ac:dyDescent="0.3">
      <c r="A89" s="16"/>
      <c r="B89" s="22"/>
      <c r="C89" s="23"/>
      <c r="D89" s="17"/>
      <c r="E89" s="17"/>
      <c r="F89" s="17"/>
      <c r="G89" s="17"/>
      <c r="H89" s="17"/>
      <c r="I89" s="17"/>
      <c r="J89" s="17"/>
      <c r="K89" s="51"/>
      <c r="L89" s="51"/>
      <c r="M89" s="17"/>
      <c r="N89" s="17"/>
      <c r="O89" s="17"/>
      <c r="P89" s="17"/>
      <c r="Q89" s="17"/>
      <c r="R89" s="17"/>
      <c r="S89" s="17"/>
      <c r="T89" s="17"/>
      <c r="U89" s="17"/>
      <c r="V89" s="17"/>
      <c r="W89" s="17"/>
      <c r="X89" s="17"/>
      <c r="Y89" s="22"/>
      <c r="Z89" s="22"/>
      <c r="AA89" s="22"/>
      <c r="AB89" s="22"/>
      <c r="AC89" s="19"/>
    </row>
    <row r="90" spans="1:29" ht="27.75" customHeight="1" thickBot="1" x14ac:dyDescent="0.3">
      <c r="A90" s="16"/>
      <c r="B90" s="486" t="s">
        <v>290</v>
      </c>
      <c r="C90" s="486"/>
      <c r="D90" s="486"/>
      <c r="E90" s="486"/>
      <c r="F90" s="486"/>
      <c r="G90" s="17"/>
      <c r="H90" s="17"/>
      <c r="I90" s="119"/>
      <c r="J90" s="17"/>
      <c r="K90" s="436" t="s">
        <v>159</v>
      </c>
      <c r="L90" s="438"/>
      <c r="M90" s="434" t="str">
        <f>IF(ISBLANK(B83),"",IF(COUNTBLANK(I90:I92)&lt;2,"You can't choose more than one answer",IF(COUNTBLANK(I90:I92)=3,"You have to choose an answer","")))</f>
        <v/>
      </c>
      <c r="N90" s="434"/>
      <c r="O90" s="434"/>
      <c r="P90" s="212"/>
      <c r="Q90" s="212"/>
      <c r="R90" s="85"/>
      <c r="S90" s="22"/>
      <c r="T90" s="225"/>
      <c r="U90" s="493" t="s">
        <v>324</v>
      </c>
      <c r="V90" s="494"/>
      <c r="W90" s="495"/>
      <c r="X90" s="203">
        <f>IF(OR(T90=1,T90=2,T90=3,T90=4,T90=5,T90=6,T90=7,T90=8,T90=9,T90=10),T90*25000,0)</f>
        <v>0</v>
      </c>
      <c r="Y90" s="22"/>
      <c r="Z90" s="18"/>
      <c r="AA90" s="23" t="s">
        <v>320</v>
      </c>
      <c r="AB90" s="194">
        <f>IF(AND(F83="",M83="",M90="",Y83="",B93=""),ROUND(Y80/1000*V80,2),0)</f>
        <v>0</v>
      </c>
      <c r="AC90" s="19"/>
    </row>
    <row r="91" spans="1:29" ht="3" customHeight="1" thickBot="1" x14ac:dyDescent="0.3">
      <c r="A91" s="16"/>
      <c r="B91" s="87"/>
      <c r="C91" s="87"/>
      <c r="D91" s="87"/>
      <c r="E91" s="87"/>
      <c r="F91" s="87"/>
      <c r="G91" s="87"/>
      <c r="H91" s="17"/>
      <c r="I91" s="199"/>
      <c r="J91" s="17"/>
      <c r="K91" s="21"/>
      <c r="L91" s="21"/>
      <c r="M91" s="434"/>
      <c r="N91" s="434"/>
      <c r="O91" s="434"/>
      <c r="P91" s="212"/>
      <c r="Q91" s="212"/>
      <c r="R91" s="86"/>
      <c r="S91" s="17"/>
      <c r="T91" s="52"/>
      <c r="U91" s="52"/>
      <c r="V91" s="17"/>
      <c r="W91" s="17"/>
      <c r="X91" s="17"/>
      <c r="Y91" s="22"/>
      <c r="Z91" s="17"/>
      <c r="AA91" s="17"/>
      <c r="AB91" s="22"/>
      <c r="AC91" s="19"/>
    </row>
    <row r="92" spans="1:29" ht="21.75" customHeight="1" thickBot="1" x14ac:dyDescent="0.3">
      <c r="A92" s="16"/>
      <c r="B92" s="270" t="str">
        <f>IF(I4&gt;0,I4,"")</f>
        <v/>
      </c>
      <c r="C92" s="432" t="s">
        <v>160</v>
      </c>
      <c r="D92" s="271"/>
      <c r="E92" s="196"/>
      <c r="F92" s="197"/>
      <c r="G92" s="87"/>
      <c r="H92" s="17"/>
      <c r="I92" s="119"/>
      <c r="J92" s="17"/>
      <c r="K92" s="436" t="s">
        <v>161</v>
      </c>
      <c r="L92" s="438"/>
      <c r="M92" s="434"/>
      <c r="N92" s="434"/>
      <c r="O92" s="434"/>
      <c r="P92" s="212"/>
      <c r="Q92" s="212"/>
      <c r="R92" s="86"/>
      <c r="S92" s="17"/>
      <c r="T92" s="52"/>
      <c r="U92" s="52"/>
      <c r="V92" s="17"/>
      <c r="W92" s="17"/>
      <c r="X92" s="17"/>
      <c r="Y92" s="22"/>
      <c r="Z92" s="22"/>
      <c r="AA92" s="23" t="s">
        <v>321</v>
      </c>
      <c r="AB92" s="194">
        <f>AB90*26</f>
        <v>0</v>
      </c>
      <c r="AC92" s="19"/>
    </row>
    <row r="93" spans="1:29" ht="15.75" x14ac:dyDescent="0.25">
      <c r="A93" s="16"/>
      <c r="B93" s="483"/>
      <c r="C93" s="483"/>
      <c r="D93" s="483"/>
      <c r="E93" s="483"/>
      <c r="F93" s="483"/>
      <c r="G93" s="483"/>
      <c r="H93" s="483"/>
      <c r="I93" s="483"/>
      <c r="J93" s="483"/>
      <c r="K93" s="483"/>
      <c r="L93" s="483"/>
      <c r="M93" s="483"/>
      <c r="N93" s="483"/>
      <c r="O93" s="483"/>
      <c r="P93" s="483"/>
      <c r="Q93" s="483"/>
      <c r="R93" s="483"/>
      <c r="S93" s="483"/>
      <c r="T93" s="483"/>
      <c r="U93" s="483"/>
      <c r="V93" s="483"/>
      <c r="W93" s="17"/>
      <c r="X93" s="17"/>
      <c r="Y93" s="17"/>
      <c r="Z93" s="22"/>
      <c r="AA93" s="23"/>
      <c r="AB93" s="324" t="str">
        <f xml:space="preserve"> IF(AB90&gt;0,"This cost takes into account a 50 % premium reduction but does not include the 9 % sales tax","")</f>
        <v/>
      </c>
      <c r="AC93" s="19"/>
    </row>
    <row r="94" spans="1:29" ht="5.25" customHeight="1" x14ac:dyDescent="0.25">
      <c r="A94" s="16"/>
      <c r="B94" s="112"/>
      <c r="C94" s="112"/>
      <c r="D94" s="112"/>
      <c r="E94" s="112"/>
      <c r="F94" s="112"/>
      <c r="G94" s="112"/>
      <c r="H94" s="112"/>
      <c r="I94" s="112"/>
      <c r="J94" s="112"/>
      <c r="K94" s="112"/>
      <c r="L94" s="112"/>
      <c r="M94" s="88"/>
      <c r="N94" s="88"/>
      <c r="O94" s="88"/>
      <c r="P94" s="88"/>
      <c r="Q94" s="88"/>
      <c r="R94" s="86"/>
      <c r="S94" s="489"/>
      <c r="T94" s="489"/>
      <c r="U94" s="489"/>
      <c r="V94" s="489"/>
      <c r="W94" s="489"/>
      <c r="X94" s="489"/>
      <c r="Y94" s="17"/>
      <c r="Z94" s="22"/>
      <c r="AA94" s="22"/>
      <c r="AB94" s="18"/>
      <c r="AC94" s="19"/>
    </row>
    <row r="95" spans="1:29" ht="5.25" customHeight="1" x14ac:dyDescent="0.25">
      <c r="A95" s="89"/>
      <c r="B95" s="90"/>
      <c r="C95" s="90"/>
      <c r="D95" s="90"/>
      <c r="E95" s="90"/>
      <c r="F95" s="90"/>
      <c r="G95" s="90"/>
      <c r="H95" s="90"/>
      <c r="I95" s="90"/>
      <c r="J95" s="90"/>
      <c r="K95" s="90"/>
      <c r="L95" s="90"/>
      <c r="M95" s="90"/>
      <c r="N95" s="90"/>
      <c r="O95" s="90"/>
      <c r="P95" s="90"/>
      <c r="Q95" s="90"/>
      <c r="R95" s="91"/>
      <c r="S95" s="91"/>
      <c r="T95" s="91"/>
      <c r="U95" s="91"/>
      <c r="V95" s="91"/>
      <c r="W95" s="91"/>
      <c r="X95" s="91"/>
      <c r="Y95" s="92"/>
      <c r="Z95" s="92"/>
      <c r="AA95" s="92"/>
      <c r="AB95" s="92"/>
      <c r="AC95" s="93"/>
    </row>
    <row r="96" spans="1:29" ht="21.75" thickBot="1" x14ac:dyDescent="0.4">
      <c r="A96" s="16"/>
      <c r="B96" s="49" t="s">
        <v>152</v>
      </c>
      <c r="C96" s="49"/>
      <c r="D96" s="17"/>
      <c r="E96" s="17"/>
      <c r="F96" s="17"/>
      <c r="G96" s="17"/>
      <c r="H96" s="17"/>
      <c r="I96" s="17"/>
      <c r="J96" s="17"/>
      <c r="K96" s="17"/>
      <c r="L96" s="17"/>
      <c r="M96" s="17"/>
      <c r="N96" s="17"/>
      <c r="O96" s="17"/>
      <c r="P96" s="17"/>
      <c r="Q96" s="17"/>
      <c r="R96" s="53"/>
      <c r="S96" s="17"/>
      <c r="T96" s="17"/>
      <c r="U96" s="17"/>
      <c r="V96" s="17"/>
      <c r="W96" s="17"/>
      <c r="X96" s="17"/>
      <c r="Y96" s="22"/>
      <c r="Z96" s="22"/>
      <c r="AA96" s="22"/>
      <c r="AB96" s="22"/>
      <c r="AC96" s="19"/>
    </row>
    <row r="97" spans="1:29" ht="21.75" customHeight="1" thickBot="1" x14ac:dyDescent="0.4">
      <c r="A97" s="16"/>
      <c r="B97" s="20" t="s">
        <v>162</v>
      </c>
      <c r="C97" s="20"/>
      <c r="D97" s="17"/>
      <c r="E97" s="17"/>
      <c r="F97" s="17"/>
      <c r="G97" s="17"/>
      <c r="H97" s="17"/>
      <c r="I97" s="17"/>
      <c r="J97" s="17"/>
      <c r="K97" s="17"/>
      <c r="L97" s="17"/>
      <c r="M97" s="17"/>
      <c r="N97" s="17"/>
      <c r="O97" s="17"/>
      <c r="P97" s="17"/>
      <c r="Q97" s="17"/>
      <c r="R97" s="17"/>
      <c r="S97" s="17"/>
      <c r="T97" s="17"/>
      <c r="U97" s="213" t="s">
        <v>154</v>
      </c>
      <c r="V97" s="268">
        <f>'Taux anglais'!R54</f>
        <v>0</v>
      </c>
      <c r="W97" s="17"/>
      <c r="X97" s="23" t="s">
        <v>155</v>
      </c>
      <c r="Y97" s="203">
        <f>IF(AND(X100&gt;0,X107&gt;0),0,X100+X107)</f>
        <v>0</v>
      </c>
      <c r="Z97" s="82"/>
      <c r="AA97" s="22"/>
      <c r="AB97" s="22"/>
      <c r="AC97" s="19"/>
    </row>
    <row r="98" spans="1:29" ht="21" x14ac:dyDescent="0.35">
      <c r="A98" s="16"/>
      <c r="B98" s="20"/>
      <c r="C98" s="20"/>
      <c r="D98" s="17"/>
      <c r="E98" s="17"/>
      <c r="F98" s="17"/>
      <c r="G98" s="17"/>
      <c r="H98" s="17"/>
      <c r="I98" s="17"/>
      <c r="J98" s="17"/>
      <c r="K98" s="17"/>
      <c r="L98" s="17"/>
      <c r="M98" s="17"/>
      <c r="N98" s="17"/>
      <c r="O98" s="83"/>
      <c r="P98" s="83"/>
      <c r="Q98" s="83"/>
      <c r="R98" s="83"/>
      <c r="S98" s="83"/>
      <c r="T98" s="83"/>
      <c r="U98" s="73"/>
      <c r="V98" s="17"/>
      <c r="W98" s="17"/>
      <c r="X98" s="23"/>
      <c r="Y98" s="82"/>
      <c r="Z98" s="82"/>
      <c r="AA98" s="22"/>
      <c r="AB98" s="22"/>
      <c r="AC98" s="19"/>
    </row>
    <row r="99" spans="1:29" ht="15" customHeight="1" thickBot="1" x14ac:dyDescent="0.3">
      <c r="A99" s="16"/>
      <c r="B99" s="435" t="s">
        <v>309</v>
      </c>
      <c r="C99" s="435"/>
      <c r="D99" s="435"/>
      <c r="E99" s="435"/>
      <c r="F99" s="435"/>
      <c r="G99" s="435"/>
      <c r="H99" s="435"/>
      <c r="I99" s="84"/>
      <c r="J99" s="84"/>
      <c r="K99" s="17" t="s">
        <v>156</v>
      </c>
      <c r="L99" s="17"/>
      <c r="M99" s="17"/>
      <c r="N99" s="17"/>
      <c r="O99" s="17"/>
      <c r="P99" s="17"/>
      <c r="Q99" s="17"/>
      <c r="R99" s="465" t="s">
        <v>328</v>
      </c>
      <c r="S99" s="465"/>
      <c r="T99" s="465"/>
      <c r="U99" s="465"/>
      <c r="V99" s="465"/>
      <c r="W99" s="465"/>
      <c r="X99" s="465"/>
      <c r="Y99" s="22"/>
      <c r="Z99" s="22"/>
      <c r="AA99" s="22"/>
      <c r="AB99" s="22"/>
      <c r="AC99" s="19"/>
    </row>
    <row r="100" spans="1:29" ht="21.75" customHeight="1" thickBot="1" x14ac:dyDescent="0.3">
      <c r="A100" s="16"/>
      <c r="B100" s="119"/>
      <c r="C100" s="17"/>
      <c r="D100" s="436" t="s">
        <v>143</v>
      </c>
      <c r="E100" s="438"/>
      <c r="F100" s="434" t="str">
        <f>IF(COUNTBLANK(B100:B102)&lt;2,"You can't choose more than one answer",IF(COUNTBLANK(B100:B102)=3,"You have to choose an answer",""))</f>
        <v>You have to choose an answer</v>
      </c>
      <c r="G100" s="434"/>
      <c r="H100" s="434"/>
      <c r="I100" s="119"/>
      <c r="J100" s="17"/>
      <c r="K100" s="436" t="s">
        <v>157</v>
      </c>
      <c r="L100" s="438"/>
      <c r="M100" s="434" t="str">
        <f>IF(ISBLANK(B100),"",IF(COUNTBLANK(I100:I102)&lt;2,"You can't choose more than one answer",IF(COUNTBLANK(I100:I102)=3,"You have to choose an answer","")))</f>
        <v/>
      </c>
      <c r="N100" s="434"/>
      <c r="O100" s="434"/>
      <c r="P100" s="212"/>
      <c r="Q100" s="212"/>
      <c r="R100" s="85"/>
      <c r="S100" s="22"/>
      <c r="T100" s="269"/>
      <c r="U100" s="493" t="s">
        <v>330</v>
      </c>
      <c r="V100" s="494"/>
      <c r="W100" s="495"/>
      <c r="X100" s="203">
        <f>IF(OR(T100=1,T100=2,T100=3,T100=4,T100=5,T100=6,T100=7),T100*20000,0)</f>
        <v>0</v>
      </c>
      <c r="Y100" s="496" t="str">
        <f>IF(AND(X100&gt;0,X107&gt;0),"If you change the amount of insurance you already have, you must take units of $25 000","")</f>
        <v/>
      </c>
      <c r="Z100" s="496"/>
      <c r="AA100" s="22"/>
      <c r="AB100" s="22"/>
      <c r="AC100" s="19"/>
    </row>
    <row r="101" spans="1:29" ht="4.5" customHeight="1" thickBot="1" x14ac:dyDescent="0.3">
      <c r="A101" s="16"/>
      <c r="B101" s="199"/>
      <c r="C101" s="23"/>
      <c r="D101" s="17"/>
      <c r="E101" s="17"/>
      <c r="F101" s="434"/>
      <c r="G101" s="434"/>
      <c r="H101" s="434"/>
      <c r="I101" s="199"/>
      <c r="J101" s="17"/>
      <c r="K101" s="51"/>
      <c r="L101" s="51"/>
      <c r="M101" s="434"/>
      <c r="N101" s="434"/>
      <c r="O101" s="434"/>
      <c r="P101" s="212"/>
      <c r="Q101" s="212"/>
      <c r="R101" s="86"/>
      <c r="S101" s="17"/>
      <c r="T101" s="17"/>
      <c r="U101" s="17"/>
      <c r="V101" s="17"/>
      <c r="W101" s="17"/>
      <c r="X101" s="17"/>
      <c r="Y101" s="496"/>
      <c r="Z101" s="496"/>
      <c r="AA101" s="22"/>
      <c r="AB101" s="22"/>
      <c r="AC101" s="19"/>
    </row>
    <row r="102" spans="1:29" ht="21.75" thickBot="1" x14ac:dyDescent="0.3">
      <c r="A102" s="16"/>
      <c r="B102" s="119"/>
      <c r="C102" s="17"/>
      <c r="D102" s="436" t="s">
        <v>144</v>
      </c>
      <c r="E102" s="438"/>
      <c r="F102" s="434"/>
      <c r="G102" s="434"/>
      <c r="H102" s="434"/>
      <c r="I102" s="119"/>
      <c r="J102" s="17"/>
      <c r="K102" s="436" t="s">
        <v>158</v>
      </c>
      <c r="L102" s="438"/>
      <c r="M102" s="434"/>
      <c r="N102" s="434"/>
      <c r="O102" s="434"/>
      <c r="P102" s="212"/>
      <c r="Q102" s="212"/>
      <c r="R102" s="86"/>
      <c r="S102" s="17"/>
      <c r="T102" s="17"/>
      <c r="U102" s="17"/>
      <c r="V102" s="17"/>
      <c r="W102" s="17"/>
      <c r="X102" s="17"/>
      <c r="Y102" s="496"/>
      <c r="Z102" s="496"/>
      <c r="AA102" s="22"/>
      <c r="AB102" s="22"/>
      <c r="AC102" s="19"/>
    </row>
    <row r="103" spans="1:29" ht="8.25" customHeight="1" x14ac:dyDescent="0.25">
      <c r="A103" s="16"/>
      <c r="B103" s="22"/>
      <c r="C103" s="23"/>
      <c r="D103" s="17"/>
      <c r="E103" s="17"/>
      <c r="F103" s="17"/>
      <c r="G103" s="17"/>
      <c r="H103" s="17"/>
      <c r="I103" s="17"/>
      <c r="J103" s="17"/>
      <c r="K103" s="51"/>
      <c r="L103" s="51"/>
      <c r="M103" s="17"/>
      <c r="N103" s="208"/>
      <c r="O103" s="208"/>
      <c r="P103" s="208"/>
      <c r="Q103" s="208"/>
      <c r="R103" s="212"/>
      <c r="S103" s="212"/>
      <c r="T103" s="212"/>
      <c r="U103" s="212"/>
      <c r="V103" s="212"/>
      <c r="W103" s="212"/>
      <c r="X103" s="212"/>
      <c r="Y103" s="496"/>
      <c r="Z103" s="496"/>
      <c r="AA103" s="22"/>
      <c r="AB103" s="22"/>
      <c r="AC103" s="19"/>
    </row>
    <row r="104" spans="1:29" ht="15.75" x14ac:dyDescent="0.25">
      <c r="A104" s="16"/>
      <c r="B104" s="398" t="str">
        <f>IF(AND((OR(B100="x",B100="X")),NOT(OR(B73="x",B73="X"))),"You must enroll in dependents' life insurance in order to add optional life insurance","")</f>
        <v/>
      </c>
      <c r="C104" s="23"/>
      <c r="D104" s="17"/>
      <c r="E104" s="17"/>
      <c r="F104" s="17"/>
      <c r="G104" s="17"/>
      <c r="H104" s="17"/>
      <c r="I104" s="17"/>
      <c r="J104" s="17"/>
      <c r="K104" s="51"/>
      <c r="L104" s="51"/>
      <c r="M104" s="17"/>
      <c r="N104" s="208"/>
      <c r="O104" s="208"/>
      <c r="P104" s="208"/>
      <c r="Q104" s="208"/>
      <c r="R104" s="212"/>
      <c r="S104" s="212"/>
      <c r="T104" s="212"/>
      <c r="U104" s="212"/>
      <c r="V104" s="212"/>
      <c r="W104" s="212"/>
      <c r="X104" s="212"/>
      <c r="Y104" s="496"/>
      <c r="Z104" s="496"/>
      <c r="AA104" s="22"/>
      <c r="AB104" s="22"/>
      <c r="AC104" s="19"/>
    </row>
    <row r="105" spans="1:29" ht="15.75" x14ac:dyDescent="0.25">
      <c r="A105" s="16"/>
      <c r="B105" s="17"/>
      <c r="C105" s="17"/>
      <c r="D105" s="17"/>
      <c r="E105" s="17"/>
      <c r="F105" s="17"/>
      <c r="G105" s="17"/>
      <c r="H105" s="17"/>
      <c r="I105" s="17"/>
      <c r="J105" s="17"/>
      <c r="K105" s="21"/>
      <c r="L105" s="21"/>
      <c r="M105" s="85"/>
      <c r="N105" s="208"/>
      <c r="O105" s="208"/>
      <c r="P105" s="208"/>
      <c r="Q105" s="208"/>
      <c r="R105" s="212"/>
      <c r="S105" s="212"/>
      <c r="T105" s="212"/>
      <c r="U105" s="212"/>
      <c r="V105" s="212"/>
      <c r="W105" s="212"/>
      <c r="X105" s="212"/>
      <c r="Y105" s="496"/>
      <c r="Z105" s="496"/>
      <c r="AA105" s="22"/>
      <c r="AB105" s="22"/>
      <c r="AC105" s="19"/>
    </row>
    <row r="106" spans="1:29" ht="15.75" customHeight="1" thickBot="1" x14ac:dyDescent="0.3">
      <c r="A106" s="16"/>
      <c r="B106" s="22"/>
      <c r="C106" s="23"/>
      <c r="D106" s="17"/>
      <c r="E106" s="17"/>
      <c r="F106" s="17"/>
      <c r="G106" s="17"/>
      <c r="H106" s="17"/>
      <c r="I106" s="17"/>
      <c r="J106" s="17"/>
      <c r="K106" s="51"/>
      <c r="L106" s="51"/>
      <c r="M106" s="17"/>
      <c r="N106" s="17"/>
      <c r="O106" s="17"/>
      <c r="P106" s="17"/>
      <c r="Q106" s="17"/>
      <c r="R106" s="465" t="s">
        <v>329</v>
      </c>
      <c r="S106" s="465"/>
      <c r="T106" s="465"/>
      <c r="U106" s="465"/>
      <c r="V106" s="465"/>
      <c r="W106" s="465"/>
      <c r="X106" s="465"/>
      <c r="Y106" s="465"/>
      <c r="Z106" s="465"/>
      <c r="AA106" s="465"/>
      <c r="AB106" s="22"/>
      <c r="AC106" s="19"/>
    </row>
    <row r="107" spans="1:29" ht="30.75" customHeight="1" thickBot="1" x14ac:dyDescent="0.3">
      <c r="A107" s="16"/>
      <c r="B107" s="435" t="s">
        <v>163</v>
      </c>
      <c r="C107" s="435"/>
      <c r="D107" s="435"/>
      <c r="E107" s="435"/>
      <c r="F107" s="435"/>
      <c r="G107" s="17"/>
      <c r="H107" s="17"/>
      <c r="I107" s="119"/>
      <c r="J107" s="17"/>
      <c r="K107" s="436" t="s">
        <v>159</v>
      </c>
      <c r="L107" s="438"/>
      <c r="M107" s="434" t="str">
        <f>IF(ISBLANK(B100),"",IF(COUNTBLANK(I107:I109)&lt;2,"You can't choose more than one answer",IF(COUNTBLANK(I107:I109)=3,"You have to choose an answer","")))</f>
        <v/>
      </c>
      <c r="N107" s="434"/>
      <c r="O107" s="434"/>
      <c r="P107" s="212"/>
      <c r="Q107" s="212"/>
      <c r="R107" s="85"/>
      <c r="S107" s="22"/>
      <c r="T107" s="269"/>
      <c r="U107" s="493" t="s">
        <v>331</v>
      </c>
      <c r="V107" s="494"/>
      <c r="W107" s="495"/>
      <c r="X107" s="203">
        <f>IF(OR(T107=1,T107=2,T107=3,T107=4,T107=5,T107=6,T107=7,T107=8,T107=9,T107=10),T107*25000,0)</f>
        <v>0</v>
      </c>
      <c r="Y107" s="22"/>
      <c r="Z107" s="18"/>
      <c r="AA107" s="23" t="s">
        <v>320</v>
      </c>
      <c r="AB107" s="216">
        <f>IF(AND(F100="",M100="",M107="",Y100="",B110=""),ROUND(Y97/1000*V97,2),0)</f>
        <v>0</v>
      </c>
      <c r="AC107" s="19"/>
    </row>
    <row r="108" spans="1:29" ht="4.5" customHeight="1" thickBot="1" x14ac:dyDescent="0.3">
      <c r="A108" s="16"/>
      <c r="B108" s="87"/>
      <c r="C108" s="87"/>
      <c r="D108" s="87"/>
      <c r="E108" s="87"/>
      <c r="F108" s="87"/>
      <c r="G108" s="87"/>
      <c r="H108" s="17"/>
      <c r="I108" s="199"/>
      <c r="J108" s="17"/>
      <c r="K108" s="21"/>
      <c r="L108" s="21"/>
      <c r="M108" s="434"/>
      <c r="N108" s="434"/>
      <c r="O108" s="434"/>
      <c r="P108" s="212"/>
      <c r="Q108" s="212"/>
      <c r="R108" s="86"/>
      <c r="S108" s="17"/>
      <c r="T108" s="52"/>
      <c r="U108" s="52"/>
      <c r="V108" s="17"/>
      <c r="W108" s="17"/>
      <c r="X108" s="17"/>
      <c r="Y108" s="22"/>
      <c r="Z108" s="17"/>
      <c r="AA108" s="17"/>
      <c r="AB108" s="22"/>
      <c r="AC108" s="19"/>
    </row>
    <row r="109" spans="1:29" ht="23.25" customHeight="1" thickBot="1" x14ac:dyDescent="0.3">
      <c r="A109" s="16"/>
      <c r="B109" s="270"/>
      <c r="C109" s="430" t="s">
        <v>160</v>
      </c>
      <c r="D109" s="404"/>
      <c r="E109" s="196"/>
      <c r="F109" s="433"/>
      <c r="G109" s="87"/>
      <c r="H109" s="17"/>
      <c r="I109" s="119"/>
      <c r="J109" s="17"/>
      <c r="K109" s="436" t="s">
        <v>161</v>
      </c>
      <c r="L109" s="438"/>
      <c r="M109" s="434"/>
      <c r="N109" s="434"/>
      <c r="O109" s="434"/>
      <c r="P109" s="212"/>
      <c r="Q109" s="212"/>
      <c r="R109" s="86"/>
      <c r="S109" s="17"/>
      <c r="T109" s="52"/>
      <c r="U109" s="52"/>
      <c r="V109" s="17"/>
      <c r="W109" s="17"/>
      <c r="X109" s="17"/>
      <c r="Y109" s="22"/>
      <c r="Z109" s="22"/>
      <c r="AA109" s="23" t="s">
        <v>321</v>
      </c>
      <c r="AB109" s="216">
        <f>AB107*26</f>
        <v>0</v>
      </c>
      <c r="AC109" s="19"/>
    </row>
    <row r="110" spans="1:29" ht="21" customHeight="1" x14ac:dyDescent="0.25">
      <c r="A110" s="16"/>
      <c r="B110" s="483" t="str">
        <f>IF(B109&gt;=70,"Optional Life Insurance is no longer available after age 70.","")</f>
        <v/>
      </c>
      <c r="C110" s="483"/>
      <c r="D110" s="483"/>
      <c r="E110" s="483"/>
      <c r="F110" s="483"/>
      <c r="G110" s="483"/>
      <c r="H110" s="483"/>
      <c r="I110" s="483"/>
      <c r="J110" s="483"/>
      <c r="K110" s="483"/>
      <c r="L110" s="483"/>
      <c r="M110" s="483"/>
      <c r="N110" s="483"/>
      <c r="O110" s="483"/>
      <c r="P110" s="483"/>
      <c r="Q110" s="483"/>
      <c r="R110" s="483"/>
      <c r="S110" s="483"/>
      <c r="T110" s="483"/>
      <c r="U110" s="483"/>
      <c r="V110" s="52"/>
      <c r="W110" s="17"/>
      <c r="X110" s="17"/>
      <c r="Y110" s="17"/>
      <c r="Z110" s="22"/>
      <c r="AA110" s="23"/>
      <c r="AB110" s="324" t="str">
        <f xml:space="preserve"> IF(AB107&gt;0,"This cost takes into account a 50 % premium reduction but does not include the 9 % sales tax","")</f>
        <v/>
      </c>
      <c r="AC110" s="19"/>
    </row>
    <row r="111" spans="1:29" ht="1.5" customHeight="1" x14ac:dyDescent="0.25">
      <c r="A111" s="54"/>
      <c r="B111" s="113"/>
      <c r="C111" s="113"/>
      <c r="D111" s="113"/>
      <c r="E111" s="113"/>
      <c r="F111" s="113"/>
      <c r="G111" s="113"/>
      <c r="H111" s="113"/>
      <c r="I111" s="113"/>
      <c r="J111" s="113"/>
      <c r="K111" s="113"/>
      <c r="L111" s="113"/>
      <c r="M111" s="94"/>
      <c r="N111" s="94"/>
      <c r="O111" s="94"/>
      <c r="P111" s="94"/>
      <c r="Q111" s="94"/>
      <c r="R111" s="95"/>
      <c r="S111" s="484"/>
      <c r="T111" s="484"/>
      <c r="U111" s="484"/>
      <c r="V111" s="484"/>
      <c r="W111" s="484"/>
      <c r="X111" s="484"/>
      <c r="Y111" s="96"/>
      <c r="Z111" s="56"/>
      <c r="AA111" s="97"/>
      <c r="AB111" s="98"/>
      <c r="AC111" s="99"/>
    </row>
    <row r="112" spans="1:29" ht="30" customHeight="1" thickBot="1" x14ac:dyDescent="0.3">
      <c r="A112" s="25"/>
      <c r="B112" s="100" t="s">
        <v>164</v>
      </c>
      <c r="C112" s="100"/>
      <c r="D112" s="27"/>
      <c r="E112" s="27"/>
      <c r="F112" s="27"/>
      <c r="G112" s="27"/>
      <c r="H112" s="27"/>
      <c r="I112" s="27"/>
      <c r="J112" s="498" t="s">
        <v>312</v>
      </c>
      <c r="K112" s="499"/>
      <c r="L112" s="499"/>
      <c r="M112" s="499"/>
      <c r="N112" s="499"/>
      <c r="O112" s="499"/>
      <c r="P112" s="499"/>
      <c r="Q112" s="499"/>
      <c r="R112" s="499"/>
      <c r="S112" s="499"/>
      <c r="T112" s="499"/>
      <c r="U112" s="499"/>
      <c r="V112" s="499"/>
      <c r="W112" s="499"/>
      <c r="X112" s="500"/>
      <c r="Y112" s="28"/>
      <c r="Z112" s="28"/>
      <c r="AA112" s="28"/>
      <c r="AB112" s="209"/>
      <c r="AC112" s="29"/>
    </row>
    <row r="113" spans="1:31" ht="21.75" customHeight="1" thickBot="1" x14ac:dyDescent="0.3">
      <c r="A113" s="30"/>
      <c r="B113" s="102"/>
      <c r="C113" s="102"/>
      <c r="D113" s="33"/>
      <c r="E113" s="33"/>
      <c r="F113" s="33"/>
      <c r="G113" s="33"/>
      <c r="H113" s="33"/>
      <c r="I113" s="33"/>
      <c r="J113" s="501"/>
      <c r="K113" s="502"/>
      <c r="L113" s="502"/>
      <c r="M113" s="502"/>
      <c r="N113" s="502"/>
      <c r="O113" s="502"/>
      <c r="P113" s="502"/>
      <c r="Q113" s="502"/>
      <c r="R113" s="502"/>
      <c r="S113" s="502"/>
      <c r="T113" s="502"/>
      <c r="U113" s="502"/>
      <c r="V113" s="502"/>
      <c r="W113" s="502"/>
      <c r="X113" s="503"/>
      <c r="Y113" s="34"/>
      <c r="Z113" s="34"/>
      <c r="AA113" s="40" t="s">
        <v>320</v>
      </c>
      <c r="AB113" s="267">
        <f>AB107+AB90+AB73+AB65+AB49+AB36+AB23+AB11</f>
        <v>0</v>
      </c>
      <c r="AC113" s="35"/>
    </row>
    <row r="114" spans="1:31" ht="21.75" customHeight="1" thickBot="1" x14ac:dyDescent="0.3">
      <c r="A114" s="30"/>
      <c r="B114" s="33"/>
      <c r="C114" s="33"/>
      <c r="D114" s="33"/>
      <c r="E114" s="33"/>
      <c r="F114" s="33"/>
      <c r="G114" s="104"/>
      <c r="H114" s="104"/>
      <c r="I114" s="33"/>
      <c r="J114" s="504"/>
      <c r="K114" s="505"/>
      <c r="L114" s="505"/>
      <c r="M114" s="505"/>
      <c r="N114" s="505"/>
      <c r="O114" s="505"/>
      <c r="P114" s="505"/>
      <c r="Q114" s="505"/>
      <c r="R114" s="505"/>
      <c r="S114" s="505"/>
      <c r="T114" s="505"/>
      <c r="U114" s="505"/>
      <c r="V114" s="505"/>
      <c r="W114" s="505"/>
      <c r="X114" s="506"/>
      <c r="Y114" s="34"/>
      <c r="Z114" s="34"/>
      <c r="AA114" s="40" t="s">
        <v>348</v>
      </c>
      <c r="AB114" s="267">
        <f>ROUND(AB113*0.09,2)</f>
        <v>0</v>
      </c>
      <c r="AC114" s="35"/>
      <c r="AE114" s="105"/>
    </row>
    <row r="115" spans="1:31" ht="21.75" customHeight="1" thickBot="1" x14ac:dyDescent="0.3">
      <c r="A115" s="30"/>
      <c r="B115" s="33"/>
      <c r="C115" s="33"/>
      <c r="D115" s="33"/>
      <c r="E115" s="33"/>
      <c r="F115" s="33"/>
      <c r="G115" s="104"/>
      <c r="H115" s="104"/>
      <c r="I115" s="33"/>
      <c r="J115" s="33"/>
      <c r="K115" s="33"/>
      <c r="L115" s="33"/>
      <c r="M115" s="33"/>
      <c r="N115" s="33"/>
      <c r="O115" s="33"/>
      <c r="P115" s="33"/>
      <c r="Q115" s="33"/>
      <c r="R115" s="33"/>
      <c r="S115" s="33"/>
      <c r="T115" s="33"/>
      <c r="U115" s="33"/>
      <c r="V115" s="33"/>
      <c r="W115" s="33"/>
      <c r="X115" s="33"/>
      <c r="Y115" s="34"/>
      <c r="Z115" s="34"/>
      <c r="AA115" s="40" t="s">
        <v>322</v>
      </c>
      <c r="AB115" s="267">
        <f>AB113+AB114</f>
        <v>0</v>
      </c>
      <c r="AC115" s="35"/>
      <c r="AE115" s="105"/>
    </row>
    <row r="116" spans="1:31" ht="30" customHeight="1" thickBot="1" x14ac:dyDescent="0.3">
      <c r="A116" s="30"/>
      <c r="B116" s="33"/>
      <c r="C116" s="33"/>
      <c r="D116" s="33"/>
      <c r="E116" s="33"/>
      <c r="F116" s="33"/>
      <c r="G116" s="104"/>
      <c r="H116" s="104"/>
      <c r="I116" s="33"/>
      <c r="J116" s="33"/>
      <c r="K116" s="33"/>
      <c r="L116" s="33"/>
      <c r="M116" s="33"/>
      <c r="N116" s="33"/>
      <c r="O116" s="33"/>
      <c r="P116" s="33"/>
      <c r="Q116" s="33"/>
      <c r="R116" s="33"/>
      <c r="S116" s="33"/>
      <c r="T116" s="33"/>
      <c r="U116" s="33"/>
      <c r="V116" s="33"/>
      <c r="W116" s="33"/>
      <c r="X116" s="33"/>
      <c r="Y116" s="34"/>
      <c r="Z116" s="34"/>
      <c r="AA116" s="34"/>
      <c r="AB116" s="210"/>
      <c r="AC116" s="35"/>
      <c r="AE116" s="105"/>
    </row>
    <row r="117" spans="1:31" ht="21.75" customHeight="1" thickBot="1" x14ac:dyDescent="0.3">
      <c r="A117" s="30"/>
      <c r="B117" s="33"/>
      <c r="C117" s="33"/>
      <c r="D117" s="33"/>
      <c r="E117" s="33"/>
      <c r="F117" s="33"/>
      <c r="G117" s="104"/>
      <c r="H117" s="104"/>
      <c r="I117" s="33"/>
      <c r="J117" s="33"/>
      <c r="K117" s="33"/>
      <c r="L117" s="33"/>
      <c r="M117" s="33"/>
      <c r="N117" s="33"/>
      <c r="O117" s="33"/>
      <c r="P117" s="33"/>
      <c r="Q117" s="33"/>
      <c r="R117" s="33"/>
      <c r="S117" s="33"/>
      <c r="T117" s="33"/>
      <c r="U117" s="33"/>
      <c r="V117" s="33"/>
      <c r="W117" s="33"/>
      <c r="X117" s="33"/>
      <c r="Y117" s="34"/>
      <c r="Z117" s="34"/>
      <c r="AA117" s="106" t="s">
        <v>323</v>
      </c>
      <c r="AB117" s="266">
        <v>0</v>
      </c>
      <c r="AC117" s="107"/>
      <c r="AE117" s="105"/>
    </row>
    <row r="118" spans="1:31" ht="17.25" customHeight="1" thickBot="1" x14ac:dyDescent="0.3">
      <c r="A118" s="30"/>
      <c r="B118" s="33"/>
      <c r="C118" s="33"/>
      <c r="D118" s="33"/>
      <c r="E118" s="33"/>
      <c r="F118" s="33"/>
      <c r="G118" s="104"/>
      <c r="H118" s="104"/>
      <c r="I118" s="33"/>
      <c r="J118" s="33"/>
      <c r="K118" s="33"/>
      <c r="L118" s="33"/>
      <c r="M118" s="33"/>
      <c r="N118" s="33"/>
      <c r="O118" s="33"/>
      <c r="P118" s="33"/>
      <c r="Q118" s="33"/>
      <c r="R118" s="33"/>
      <c r="S118" s="33"/>
      <c r="T118" s="33"/>
      <c r="U118" s="33"/>
      <c r="V118" s="33"/>
      <c r="W118" s="33"/>
      <c r="X118" s="33"/>
      <c r="Y118" s="34"/>
      <c r="Z118" s="34"/>
      <c r="AA118" s="108"/>
      <c r="AB118" s="210"/>
      <c r="AC118" s="35"/>
      <c r="AE118" s="105"/>
    </row>
    <row r="119" spans="1:31" ht="21.75" customHeight="1" thickBot="1" x14ac:dyDescent="0.3">
      <c r="A119" s="30"/>
      <c r="B119" s="33"/>
      <c r="C119" s="33"/>
      <c r="D119" s="33"/>
      <c r="E119" s="33"/>
      <c r="F119" s="33"/>
      <c r="G119" s="104"/>
      <c r="H119" s="104"/>
      <c r="I119" s="33"/>
      <c r="J119" s="33"/>
      <c r="K119" s="33"/>
      <c r="L119" s="33"/>
      <c r="M119" s="33"/>
      <c r="N119" s="33"/>
      <c r="O119" s="33"/>
      <c r="P119" s="33"/>
      <c r="Q119" s="33"/>
      <c r="R119" s="33"/>
      <c r="S119" s="33"/>
      <c r="T119" s="33"/>
      <c r="U119" s="33"/>
      <c r="V119" s="33"/>
      <c r="W119" s="33"/>
      <c r="X119" s="33"/>
      <c r="Y119" s="34"/>
      <c r="Z119" s="34"/>
      <c r="AA119" s="109" t="s">
        <v>347</v>
      </c>
      <c r="AB119" s="265">
        <f>AB115-AB117</f>
        <v>0</v>
      </c>
      <c r="AC119" s="35"/>
    </row>
    <row r="120" spans="1:31" ht="3.75" customHeight="1" thickBot="1" x14ac:dyDescent="0.3">
      <c r="A120" s="30"/>
      <c r="B120" s="33"/>
      <c r="C120" s="33"/>
      <c r="D120" s="33"/>
      <c r="E120" s="33"/>
      <c r="F120" s="33"/>
      <c r="G120" s="104"/>
      <c r="H120" s="104"/>
      <c r="I120" s="33"/>
      <c r="J120" s="33"/>
      <c r="K120" s="33"/>
      <c r="L120" s="33"/>
      <c r="M120" s="33"/>
      <c r="N120" s="33"/>
      <c r="O120" s="33"/>
      <c r="P120" s="33"/>
      <c r="Q120" s="33"/>
      <c r="R120" s="33"/>
      <c r="S120" s="33"/>
      <c r="T120" s="33"/>
      <c r="U120" s="33"/>
      <c r="V120" s="33"/>
      <c r="W120" s="33"/>
      <c r="X120" s="33"/>
      <c r="Y120" s="34"/>
      <c r="Z120" s="34"/>
      <c r="AA120" s="34"/>
      <c r="AB120" s="202"/>
      <c r="AC120" s="35"/>
    </row>
    <row r="121" spans="1:31" ht="21.75" customHeight="1" thickBot="1" x14ac:dyDescent="0.3">
      <c r="A121" s="30"/>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4"/>
      <c r="Z121" s="34"/>
      <c r="AA121" s="109" t="s">
        <v>346</v>
      </c>
      <c r="AB121" s="265">
        <f>26*AB119</f>
        <v>0</v>
      </c>
      <c r="AC121" s="35"/>
    </row>
    <row r="122" spans="1:31" x14ac:dyDescent="0.25">
      <c r="A122" s="44"/>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6"/>
      <c r="Z122" s="46"/>
      <c r="AA122" s="46"/>
      <c r="AB122" s="46"/>
      <c r="AC122" s="47"/>
    </row>
  </sheetData>
  <sheetProtection sheet="1"/>
  <protectedRanges>
    <protectedRange password="C3A2" sqref="V60" name="Reponses"/>
  </protectedRanges>
  <mergeCells count="80">
    <mergeCell ref="J112:X114"/>
    <mergeCell ref="F83:H85"/>
    <mergeCell ref="S94:X94"/>
    <mergeCell ref="T75:V75"/>
    <mergeCell ref="F73:K75"/>
    <mergeCell ref="S111:X111"/>
    <mergeCell ref="B107:F107"/>
    <mergeCell ref="R82:X82"/>
    <mergeCell ref="B90:F90"/>
    <mergeCell ref="K90:L90"/>
    <mergeCell ref="K107:L107"/>
    <mergeCell ref="M90:O92"/>
    <mergeCell ref="M83:O85"/>
    <mergeCell ref="K92:L92"/>
    <mergeCell ref="D100:E100"/>
    <mergeCell ref="B99:H99"/>
    <mergeCell ref="L4:P4"/>
    <mergeCell ref="D21:L21"/>
    <mergeCell ref="D23:L23"/>
    <mergeCell ref="D7:L7"/>
    <mergeCell ref="D19:L19"/>
    <mergeCell ref="D11:L11"/>
    <mergeCell ref="D13:L13"/>
    <mergeCell ref="M7:O13"/>
    <mergeCell ref="F60:H62"/>
    <mergeCell ref="V7:W13"/>
    <mergeCell ref="W19:AB21"/>
    <mergeCell ref="S19:V19"/>
    <mergeCell ref="S7:U7"/>
    <mergeCell ref="S9:U9"/>
    <mergeCell ref="S11:U11"/>
    <mergeCell ref="S13:U13"/>
    <mergeCell ref="S56:V56"/>
    <mergeCell ref="S58:V58"/>
    <mergeCell ref="B30:N30"/>
    <mergeCell ref="D65:K65"/>
    <mergeCell ref="B82:H82"/>
    <mergeCell ref="D36:N36"/>
    <mergeCell ref="D9:L9"/>
    <mergeCell ref="M19:O23"/>
    <mergeCell ref="D47:E47"/>
    <mergeCell ref="D75:E75"/>
    <mergeCell ref="D38:N38"/>
    <mergeCell ref="D40:N40"/>
    <mergeCell ref="D42:N42"/>
    <mergeCell ref="O36:Q43"/>
    <mergeCell ref="D25:M26"/>
    <mergeCell ref="F47:K49"/>
    <mergeCell ref="B52:Q52"/>
    <mergeCell ref="D60:E60"/>
    <mergeCell ref="B50:Q51"/>
    <mergeCell ref="U107:W107"/>
    <mergeCell ref="M107:O109"/>
    <mergeCell ref="M100:O102"/>
    <mergeCell ref="K102:L102"/>
    <mergeCell ref="K100:L100"/>
    <mergeCell ref="D102:E102"/>
    <mergeCell ref="R106:AA106"/>
    <mergeCell ref="U83:W83"/>
    <mergeCell ref="Y100:Z105"/>
    <mergeCell ref="U90:W90"/>
    <mergeCell ref="R99:X99"/>
    <mergeCell ref="Y83:AA85"/>
    <mergeCell ref="R88:AA88"/>
    <mergeCell ref="B110:U110"/>
    <mergeCell ref="U1:X2"/>
    <mergeCell ref="B1:B2"/>
    <mergeCell ref="D1:T2"/>
    <mergeCell ref="K83:L83"/>
    <mergeCell ref="K85:L85"/>
    <mergeCell ref="D62:E62"/>
    <mergeCell ref="D73:E73"/>
    <mergeCell ref="D83:E83"/>
    <mergeCell ref="D85:E85"/>
    <mergeCell ref="D34:N34"/>
    <mergeCell ref="D49:E49"/>
    <mergeCell ref="K109:L109"/>
    <mergeCell ref="U100:W100"/>
    <mergeCell ref="B93:V93"/>
    <mergeCell ref="F100:H102"/>
  </mergeCells>
  <conditionalFormatting sqref="Q4">
    <cfRule type="expression" dxfId="2" priority="1">
      <formula>"$Q$4=""X"""</formula>
    </cfRule>
    <cfRule type="expression" dxfId="1" priority="2">
      <formula>$I$4&gt;=65</formula>
    </cfRule>
  </conditionalFormatting>
  <conditionalFormatting sqref="U4">
    <cfRule type="expression" dxfId="0" priority="3">
      <formula>$I$4&gt;=65</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99"/>
  </sheetPr>
  <dimension ref="A1:T33"/>
  <sheetViews>
    <sheetView zoomScale="85" zoomScaleNormal="85" workbookViewId="0">
      <selection activeCell="F5" sqref="F5"/>
    </sheetView>
  </sheetViews>
  <sheetFormatPr baseColWidth="10" defaultRowHeight="15" x14ac:dyDescent="0.25"/>
  <cols>
    <col min="1" max="1" width="12.28515625" customWidth="1"/>
    <col min="2" max="2" width="15.7109375" customWidth="1"/>
    <col min="6" max="6" width="13.28515625" customWidth="1"/>
    <col min="10" max="10" width="14.140625" customWidth="1"/>
    <col min="11" max="11" width="17.42578125" customWidth="1"/>
    <col min="12" max="12" width="14.42578125" customWidth="1"/>
    <col min="13" max="13" width="11.5703125" customWidth="1"/>
    <col min="18" max="18" width="39.5703125" customWidth="1"/>
    <col min="19" max="19" width="14.5703125" customWidth="1"/>
    <col min="20" max="20" width="15.140625" customWidth="1"/>
    <col min="22" max="22" width="11.5703125" bestFit="1" customWidth="1"/>
    <col min="23" max="23" width="14.28515625" bestFit="1" customWidth="1"/>
    <col min="24" max="24" width="16" bestFit="1" customWidth="1"/>
    <col min="25" max="25" width="13.28515625" bestFit="1" customWidth="1"/>
    <col min="26" max="26" width="16" bestFit="1" customWidth="1"/>
  </cols>
  <sheetData>
    <row r="1" spans="1:20" ht="18" customHeight="1" x14ac:dyDescent="0.25">
      <c r="A1" s="338" t="s">
        <v>303</v>
      </c>
    </row>
    <row r="2" spans="1:20" ht="18" customHeight="1" x14ac:dyDescent="0.25">
      <c r="A2" s="338"/>
    </row>
    <row r="3" spans="1:20" ht="15.75" thickBot="1" x14ac:dyDescent="0.3">
      <c r="B3" s="1" t="s">
        <v>335</v>
      </c>
    </row>
    <row r="4" spans="1:20" ht="16.5" thickTop="1" thickBot="1" x14ac:dyDescent="0.3">
      <c r="B4" s="3" t="s">
        <v>117</v>
      </c>
      <c r="C4" s="4"/>
      <c r="D4" s="4"/>
      <c r="E4" s="4"/>
      <c r="F4" s="5"/>
      <c r="G4" s="3" t="s">
        <v>118</v>
      </c>
      <c r="H4" s="4"/>
      <c r="I4" s="4"/>
      <c r="J4" s="4"/>
      <c r="K4" s="3" t="s">
        <v>119</v>
      </c>
      <c r="L4" s="339"/>
      <c r="M4" s="337" t="s">
        <v>302</v>
      </c>
      <c r="N4" s="340">
        <v>0.5</v>
      </c>
      <c r="O4" s="4"/>
      <c r="P4" s="4"/>
      <c r="Q4" s="5"/>
      <c r="R4" s="362" t="s">
        <v>120</v>
      </c>
      <c r="S4" s="4"/>
      <c r="T4" s="5"/>
    </row>
    <row r="5" spans="1:20" ht="16.5" thickTop="1" thickBot="1" x14ac:dyDescent="0.3">
      <c r="B5" s="115" t="s">
        <v>269</v>
      </c>
      <c r="C5" s="184" t="s">
        <v>21</v>
      </c>
      <c r="D5" s="143"/>
      <c r="E5" s="144"/>
      <c r="F5" s="7"/>
      <c r="G5" s="6" t="s">
        <v>269</v>
      </c>
      <c r="K5" s="6" t="s">
        <v>94</v>
      </c>
      <c r="L5" s="335">
        <v>5.6800000000000003E-2</v>
      </c>
      <c r="M5" s="336">
        <f>L5*$N$4</f>
        <v>2.8400000000000002E-2</v>
      </c>
      <c r="N5" t="s">
        <v>295</v>
      </c>
      <c r="O5" s="282"/>
      <c r="R5" s="356" t="s">
        <v>122</v>
      </c>
      <c r="S5" s="357">
        <v>0.27900000000000003</v>
      </c>
      <c r="T5" s="7"/>
    </row>
    <row r="6" spans="1:20" ht="16.5" thickTop="1" thickBot="1" x14ac:dyDescent="0.3">
      <c r="B6" s="6"/>
      <c r="C6" s="175" t="s">
        <v>5</v>
      </c>
      <c r="D6" s="176" t="s">
        <v>6</v>
      </c>
      <c r="E6" s="177" t="s">
        <v>7</v>
      </c>
      <c r="F6" s="7"/>
      <c r="G6" s="6"/>
      <c r="H6" s="185" t="s">
        <v>26</v>
      </c>
      <c r="I6" s="186" t="s">
        <v>27</v>
      </c>
      <c r="K6" s="6" t="s">
        <v>95</v>
      </c>
      <c r="L6" s="331">
        <v>1.67</v>
      </c>
      <c r="M6" s="322">
        <f>L6*$N$4</f>
        <v>0.83499999999999996</v>
      </c>
      <c r="N6" t="s">
        <v>300</v>
      </c>
      <c r="R6" s="358" t="s">
        <v>166</v>
      </c>
      <c r="S6" s="359">
        <v>0.5</v>
      </c>
      <c r="T6" s="7"/>
    </row>
    <row r="7" spans="1:20" ht="16.5" thickTop="1" thickBot="1" x14ac:dyDescent="0.3">
      <c r="B7" s="116" t="s">
        <v>78</v>
      </c>
      <c r="C7" s="366">
        <v>60.95</v>
      </c>
      <c r="D7" s="367">
        <v>88.34</v>
      </c>
      <c r="E7" s="368">
        <v>113.07</v>
      </c>
      <c r="F7" s="7"/>
      <c r="G7" s="116" t="s">
        <v>12</v>
      </c>
      <c r="H7" s="366">
        <v>13.41</v>
      </c>
      <c r="I7" s="368">
        <v>17.84</v>
      </c>
      <c r="K7" s="6" t="s">
        <v>296</v>
      </c>
      <c r="L7" s="332">
        <v>0.59</v>
      </c>
      <c r="M7" s="346">
        <f>L7*$N$4</f>
        <v>0.29499999999999998</v>
      </c>
      <c r="N7" t="s">
        <v>295</v>
      </c>
      <c r="P7" s="354" t="s">
        <v>280</v>
      </c>
      <c r="R7" s="358" t="s">
        <v>292</v>
      </c>
      <c r="S7" s="359">
        <v>0.56999999999999995</v>
      </c>
      <c r="T7" s="7"/>
    </row>
    <row r="8" spans="1:20" ht="15.75" thickTop="1" x14ac:dyDescent="0.25">
      <c r="B8" s="116" t="s">
        <v>79</v>
      </c>
      <c r="C8" s="369">
        <v>91.43</v>
      </c>
      <c r="D8" s="370">
        <v>132.5</v>
      </c>
      <c r="E8" s="371">
        <v>169.6</v>
      </c>
      <c r="F8" s="7"/>
      <c r="G8" s="116" t="s">
        <v>13</v>
      </c>
      <c r="H8" s="369">
        <v>25.49</v>
      </c>
      <c r="I8" s="371">
        <v>33.9</v>
      </c>
      <c r="K8" s="6"/>
      <c r="L8" s="353" t="s">
        <v>280</v>
      </c>
      <c r="M8" s="507" t="s">
        <v>40</v>
      </c>
      <c r="N8" s="508"/>
      <c r="O8" s="508" t="s">
        <v>41</v>
      </c>
      <c r="P8" s="509"/>
      <c r="R8" s="358" t="s">
        <v>304</v>
      </c>
      <c r="S8" s="359">
        <v>0.113</v>
      </c>
      <c r="T8" s="7"/>
    </row>
    <row r="9" spans="1:20" ht="15.75" thickBot="1" x14ac:dyDescent="0.3">
      <c r="B9" s="116" t="s">
        <v>80</v>
      </c>
      <c r="C9" s="369">
        <v>146.28</v>
      </c>
      <c r="D9" s="370">
        <v>212.01</v>
      </c>
      <c r="E9" s="371">
        <v>271.37</v>
      </c>
      <c r="F9" s="7"/>
      <c r="G9" s="116" t="s">
        <v>14</v>
      </c>
      <c r="H9" s="369">
        <v>32.19</v>
      </c>
      <c r="I9" s="371">
        <v>42.82</v>
      </c>
      <c r="K9" s="6"/>
      <c r="L9" t="s">
        <v>46</v>
      </c>
      <c r="M9" s="347" t="s">
        <v>43</v>
      </c>
      <c r="N9" s="183" t="s">
        <v>44</v>
      </c>
      <c r="O9" s="183" t="s">
        <v>47</v>
      </c>
      <c r="P9" s="348" t="s">
        <v>48</v>
      </c>
      <c r="R9" s="358" t="s">
        <v>297</v>
      </c>
      <c r="S9" s="359">
        <v>0.46800000000000003</v>
      </c>
      <c r="T9" s="7"/>
    </row>
    <row r="10" spans="1:20" ht="16.5" thickTop="1" thickBot="1" x14ac:dyDescent="0.3">
      <c r="B10" s="116" t="s">
        <v>11</v>
      </c>
      <c r="C10" s="372">
        <v>0</v>
      </c>
      <c r="D10" s="373">
        <v>0</v>
      </c>
      <c r="E10" s="374">
        <v>0</v>
      </c>
      <c r="F10" s="7"/>
      <c r="G10" s="116" t="s">
        <v>11</v>
      </c>
      <c r="H10" s="372">
        <v>0</v>
      </c>
      <c r="I10" s="374">
        <v>0</v>
      </c>
      <c r="K10" s="6"/>
      <c r="L10" t="s">
        <v>49</v>
      </c>
      <c r="M10" s="349">
        <v>8.9999999999999993E-3</v>
      </c>
      <c r="N10" s="161">
        <v>1.2999999999999999E-2</v>
      </c>
      <c r="O10" s="161">
        <v>5.0000000000000001E-3</v>
      </c>
      <c r="P10" s="350">
        <v>6.0000000000000001E-3</v>
      </c>
      <c r="R10" s="360" t="s">
        <v>30</v>
      </c>
      <c r="S10" s="361">
        <v>0</v>
      </c>
      <c r="T10" s="8"/>
    </row>
    <row r="11" spans="1:20" ht="15.75" thickTop="1" x14ac:dyDescent="0.25">
      <c r="B11" s="6"/>
      <c r="C11" s="375" t="s">
        <v>15</v>
      </c>
      <c r="D11" s="376"/>
      <c r="E11" s="377"/>
      <c r="F11" s="7"/>
      <c r="G11" s="11"/>
      <c r="H11" s="117"/>
      <c r="I11" s="117"/>
      <c r="J11" s="117"/>
      <c r="K11" s="6"/>
      <c r="L11" t="s">
        <v>50</v>
      </c>
      <c r="M11" s="349">
        <v>8.9999999999999993E-3</v>
      </c>
      <c r="N11" s="162">
        <v>1.2999999999999999E-2</v>
      </c>
      <c r="O11" s="162">
        <v>5.0000000000000001E-3</v>
      </c>
      <c r="P11" s="351">
        <v>6.0000000000000001E-3</v>
      </c>
      <c r="Q11" s="7"/>
    </row>
    <row r="12" spans="1:20" ht="15.75" thickBot="1" x14ac:dyDescent="0.3">
      <c r="B12" s="6"/>
      <c r="C12" s="378" t="s">
        <v>5</v>
      </c>
      <c r="D12" s="379" t="s">
        <v>6</v>
      </c>
      <c r="E12" s="380" t="s">
        <v>7</v>
      </c>
      <c r="F12" s="7"/>
      <c r="K12" s="6"/>
      <c r="L12" t="s">
        <v>51</v>
      </c>
      <c r="M12" s="349">
        <v>8.9999999999999993E-3</v>
      </c>
      <c r="N12" s="162">
        <v>1.2999999999999999E-2</v>
      </c>
      <c r="O12" s="162">
        <v>5.0000000000000001E-3</v>
      </c>
      <c r="P12" s="351">
        <v>6.0000000000000001E-3</v>
      </c>
    </row>
    <row r="13" spans="1:20" ht="15.75" thickTop="1" x14ac:dyDescent="0.25">
      <c r="B13" s="116" t="s">
        <v>78</v>
      </c>
      <c r="C13" s="366">
        <v>22.32</v>
      </c>
      <c r="D13" s="367">
        <v>32.35</v>
      </c>
      <c r="E13" s="368">
        <v>41.41</v>
      </c>
      <c r="F13" s="7"/>
      <c r="I13" s="307"/>
      <c r="K13" s="6"/>
      <c r="L13" t="s">
        <v>52</v>
      </c>
      <c r="M13" s="352">
        <v>1.2E-2</v>
      </c>
      <c r="N13" s="162">
        <v>1.4999999999999999E-2</v>
      </c>
      <c r="O13" s="162">
        <v>6.0000000000000001E-3</v>
      </c>
      <c r="P13" s="351">
        <v>7.0000000000000001E-3</v>
      </c>
      <c r="Q13" s="7"/>
      <c r="R13" s="3"/>
      <c r="S13" s="4"/>
      <c r="T13" s="5"/>
    </row>
    <row r="14" spans="1:20" ht="15.75" thickBot="1" x14ac:dyDescent="0.3">
      <c r="B14" s="116" t="s">
        <v>79</v>
      </c>
      <c r="C14" s="369">
        <v>33.479999999999997</v>
      </c>
      <c r="D14" s="370">
        <v>48.53</v>
      </c>
      <c r="E14" s="371">
        <v>62.11</v>
      </c>
      <c r="F14" s="7"/>
      <c r="K14" s="6"/>
      <c r="L14" t="s">
        <v>53</v>
      </c>
      <c r="M14" s="352">
        <v>1.7000000000000001E-2</v>
      </c>
      <c r="N14" s="162">
        <v>2.5000000000000001E-2</v>
      </c>
      <c r="O14" s="162">
        <v>8.9999999999999993E-3</v>
      </c>
      <c r="P14" s="351">
        <v>1.2999999999999999E-2</v>
      </c>
      <c r="Q14" s="7"/>
      <c r="R14" s="118" t="s">
        <v>121</v>
      </c>
      <c r="T14" s="7"/>
    </row>
    <row r="15" spans="1:20" ht="16.5" thickTop="1" thickBot="1" x14ac:dyDescent="0.3">
      <c r="B15" s="116" t="s">
        <v>80</v>
      </c>
      <c r="C15" s="369">
        <v>53.57</v>
      </c>
      <c r="D15" s="370">
        <v>77.64</v>
      </c>
      <c r="E15" s="371">
        <v>99.38</v>
      </c>
      <c r="F15" s="7"/>
      <c r="K15" s="6"/>
      <c r="L15" t="s">
        <v>54</v>
      </c>
      <c r="M15" s="352">
        <v>2.8000000000000001E-2</v>
      </c>
      <c r="N15" s="162">
        <v>0.04</v>
      </c>
      <c r="O15" s="162">
        <v>1.2999999999999999E-2</v>
      </c>
      <c r="P15" s="351">
        <v>1.9E-2</v>
      </c>
      <c r="Q15" s="7"/>
      <c r="R15" s="6"/>
      <c r="S15" s="345">
        <v>0.44</v>
      </c>
      <c r="T15" s="7"/>
    </row>
    <row r="16" spans="1:20" ht="16.5" thickTop="1" thickBot="1" x14ac:dyDescent="0.3">
      <c r="A16" s="282"/>
      <c r="B16" s="116" t="s">
        <v>11</v>
      </c>
      <c r="C16" s="372">
        <v>0</v>
      </c>
      <c r="D16" s="373">
        <v>0</v>
      </c>
      <c r="E16" s="374">
        <v>0</v>
      </c>
      <c r="F16" s="7"/>
      <c r="K16" s="6"/>
      <c r="L16" t="s">
        <v>55</v>
      </c>
      <c r="M16" s="352">
        <v>4.2000000000000003E-2</v>
      </c>
      <c r="N16" s="162">
        <v>6.3E-2</v>
      </c>
      <c r="O16" s="162">
        <v>2.4E-2</v>
      </c>
      <c r="P16" s="351">
        <v>2.9000000000000001E-2</v>
      </c>
      <c r="Q16" s="7"/>
      <c r="R16" s="11"/>
      <c r="S16" s="117"/>
      <c r="T16" s="8"/>
    </row>
    <row r="17" spans="1:17" ht="15.75" thickTop="1" x14ac:dyDescent="0.25">
      <c r="A17" s="282"/>
      <c r="B17" s="6"/>
      <c r="C17" s="184" t="s">
        <v>16</v>
      </c>
      <c r="D17" s="143"/>
      <c r="E17" s="144"/>
      <c r="F17" s="7"/>
      <c r="K17" s="6"/>
      <c r="L17" t="s">
        <v>56</v>
      </c>
      <c r="M17" s="352">
        <v>6.7000000000000004E-2</v>
      </c>
      <c r="N17" s="162">
        <v>0.104</v>
      </c>
      <c r="O17" s="162">
        <v>3.5999999999999997E-2</v>
      </c>
      <c r="P17" s="351">
        <v>5.7000000000000002E-2</v>
      </c>
      <c r="Q17" s="7"/>
    </row>
    <row r="18" spans="1:17" ht="15.75" thickBot="1" x14ac:dyDescent="0.3">
      <c r="A18" s="282"/>
      <c r="B18" s="6"/>
      <c r="C18" s="175" t="s">
        <v>5</v>
      </c>
      <c r="D18" s="176" t="s">
        <v>6</v>
      </c>
      <c r="E18" s="177" t="s">
        <v>7</v>
      </c>
      <c r="F18" s="7"/>
      <c r="K18" s="6"/>
      <c r="L18" t="s">
        <v>57</v>
      </c>
      <c r="M18" s="352">
        <v>0.113</v>
      </c>
      <c r="N18" s="162">
        <v>0.16400000000000001</v>
      </c>
      <c r="O18" s="162">
        <v>5.6000000000000001E-2</v>
      </c>
      <c r="P18" s="351">
        <v>8.4000000000000005E-2</v>
      </c>
      <c r="Q18" s="7"/>
    </row>
    <row r="19" spans="1:17" ht="15.75" thickTop="1" x14ac:dyDescent="0.25">
      <c r="A19" s="282"/>
      <c r="B19" s="116" t="s">
        <v>78</v>
      </c>
      <c r="C19" s="343">
        <v>164.38</v>
      </c>
      <c r="D19" s="341">
        <f>$C$19</f>
        <v>164.38</v>
      </c>
      <c r="E19" s="274">
        <f>$C$19</f>
        <v>164.38</v>
      </c>
      <c r="F19" s="7"/>
      <c r="K19" s="6"/>
      <c r="L19" t="s">
        <v>58</v>
      </c>
      <c r="M19" s="352">
        <v>0.156</v>
      </c>
      <c r="N19" s="162">
        <v>0.255</v>
      </c>
      <c r="O19" s="162">
        <v>8.7999999999999995E-2</v>
      </c>
      <c r="P19" s="351">
        <v>0.13100000000000001</v>
      </c>
      <c r="Q19" s="7"/>
    </row>
    <row r="20" spans="1:17" x14ac:dyDescent="0.25">
      <c r="B20" s="116" t="s">
        <v>79</v>
      </c>
      <c r="C20" s="319">
        <f>C19</f>
        <v>164.38</v>
      </c>
      <c r="D20" s="275">
        <f>$C$20</f>
        <v>164.38</v>
      </c>
      <c r="E20" s="276">
        <f>$C$20</f>
        <v>164.38</v>
      </c>
      <c r="F20" s="7"/>
      <c r="K20" s="6"/>
      <c r="L20" t="s">
        <v>351</v>
      </c>
      <c r="M20" s="407">
        <v>0.27600000000000002</v>
      </c>
      <c r="N20" s="408">
        <v>0.39600000000000002</v>
      </c>
      <c r="O20" s="408">
        <v>0.14299999999999999</v>
      </c>
      <c r="P20" s="409">
        <v>0.184</v>
      </c>
      <c r="Q20" s="7"/>
    </row>
    <row r="21" spans="1:17" ht="15.75" thickBot="1" x14ac:dyDescent="0.3">
      <c r="B21" s="116" t="s">
        <v>80</v>
      </c>
      <c r="C21" s="344">
        <v>328.79</v>
      </c>
      <c r="D21" s="275">
        <f>$C$21</f>
        <v>328.79</v>
      </c>
      <c r="E21" s="276">
        <f>$C$21</f>
        <v>328.79</v>
      </c>
      <c r="F21" s="7"/>
      <c r="K21" s="6"/>
      <c r="L21" t="s">
        <v>352</v>
      </c>
      <c r="M21" s="411">
        <v>0.627</v>
      </c>
      <c r="N21" s="412">
        <v>0.67300000000000004</v>
      </c>
      <c r="O21" s="412">
        <v>0.376</v>
      </c>
      <c r="P21" s="413">
        <v>0.39600000000000002</v>
      </c>
      <c r="Q21" s="7"/>
    </row>
    <row r="22" spans="1:17" ht="16.5" thickTop="1" thickBot="1" x14ac:dyDescent="0.3">
      <c r="B22" s="116" t="s">
        <v>11</v>
      </c>
      <c r="C22" s="318">
        <v>0</v>
      </c>
      <c r="D22" s="277">
        <v>0</v>
      </c>
      <c r="E22" s="278">
        <v>0</v>
      </c>
      <c r="F22" s="7"/>
      <c r="K22" s="11"/>
      <c r="L22" s="117"/>
      <c r="M22" s="410" t="s">
        <v>307</v>
      </c>
      <c r="N22" s="355"/>
      <c r="O22" s="355"/>
      <c r="P22" s="355"/>
      <c r="Q22" s="8"/>
    </row>
    <row r="23" spans="1:17" ht="15.75" thickTop="1" x14ac:dyDescent="0.25">
      <c r="B23" s="11"/>
      <c r="C23" s="117"/>
      <c r="D23" s="117"/>
      <c r="E23" s="117"/>
      <c r="F23" s="8"/>
    </row>
    <row r="28" spans="1:17" ht="18.75" x14ac:dyDescent="0.3">
      <c r="B28" s="387" t="s">
        <v>278</v>
      </c>
    </row>
    <row r="29" spans="1:17" x14ac:dyDescent="0.25">
      <c r="B29" s="279"/>
      <c r="C29" t="s">
        <v>275</v>
      </c>
    </row>
    <row r="30" spans="1:17" x14ac:dyDescent="0.25">
      <c r="B30" s="280"/>
      <c r="C30" t="s">
        <v>276</v>
      </c>
    </row>
    <row r="31" spans="1:17" x14ac:dyDescent="0.25">
      <c r="B31" s="281"/>
      <c r="C31" t="s">
        <v>277</v>
      </c>
    </row>
    <row r="33" spans="2:18" ht="45" customHeight="1" x14ac:dyDescent="0.4">
      <c r="B33" s="405" t="s">
        <v>336</v>
      </c>
      <c r="C33" s="406"/>
      <c r="D33" s="406"/>
      <c r="E33" s="406"/>
      <c r="F33" s="406"/>
      <c r="G33" s="406"/>
      <c r="H33" s="406"/>
      <c r="I33" s="406"/>
      <c r="J33" s="406"/>
      <c r="K33" s="406"/>
      <c r="L33" s="406"/>
      <c r="M33" s="406"/>
      <c r="N33" s="406"/>
      <c r="O33" s="406"/>
      <c r="P33" s="406"/>
      <c r="Q33" s="406"/>
      <c r="R33" s="406"/>
    </row>
  </sheetData>
  <mergeCells count="2">
    <mergeCell ref="M8:N8"/>
    <mergeCell ref="O8:P8"/>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92D050"/>
  </sheetPr>
  <dimension ref="A1:X146"/>
  <sheetViews>
    <sheetView zoomScaleNormal="100" workbookViewId="0">
      <selection activeCell="F5" sqref="F5"/>
    </sheetView>
  </sheetViews>
  <sheetFormatPr baseColWidth="10" defaultRowHeight="15" x14ac:dyDescent="0.25"/>
  <cols>
    <col min="2" max="2" width="45.7109375" customWidth="1"/>
    <col min="3" max="3" width="21" customWidth="1"/>
    <col min="4" max="4" width="18.42578125" customWidth="1"/>
    <col min="5" max="5" width="5" customWidth="1"/>
    <col min="6" max="6" width="15.5703125" customWidth="1"/>
    <col min="7" max="9" width="13.85546875" customWidth="1"/>
    <col min="11" max="11" width="11.140625" customWidth="1"/>
    <col min="12" max="12" width="13.28515625" customWidth="1"/>
    <col min="14" max="14" width="13" customWidth="1"/>
    <col min="16" max="16" width="15.140625" customWidth="1"/>
    <col min="17" max="17" width="13.7109375" customWidth="1"/>
    <col min="19" max="19" width="12.7109375" customWidth="1"/>
    <col min="20" max="20" width="15.7109375" customWidth="1"/>
    <col min="22" max="22" width="13" bestFit="1" customWidth="1"/>
    <col min="23" max="23" width="15.28515625" customWidth="1"/>
  </cols>
  <sheetData>
    <row r="1" spans="1:22" ht="15.75" thickBot="1" x14ac:dyDescent="0.3">
      <c r="A1" s="338" t="s">
        <v>303</v>
      </c>
    </row>
    <row r="2" spans="1:22" ht="16.5" thickTop="1" thickBot="1" x14ac:dyDescent="0.3">
      <c r="B2" s="1" t="s">
        <v>9</v>
      </c>
      <c r="C2" s="1" t="s">
        <v>74</v>
      </c>
      <c r="D2" s="1" t="s">
        <v>17</v>
      </c>
      <c r="E2" s="1"/>
      <c r="F2" s="1" t="s">
        <v>269</v>
      </c>
      <c r="G2" s="180" t="s">
        <v>21</v>
      </c>
      <c r="H2" s="181"/>
      <c r="I2" s="182"/>
      <c r="L2" s="1" t="s">
        <v>25</v>
      </c>
      <c r="O2" t="s">
        <v>269</v>
      </c>
    </row>
    <row r="3" spans="1:22" ht="16.5" thickTop="1" thickBot="1" x14ac:dyDescent="0.3">
      <c r="B3" t="s">
        <v>75</v>
      </c>
      <c r="C3" t="s">
        <v>78</v>
      </c>
      <c r="D3" t="s">
        <v>18</v>
      </c>
      <c r="G3" s="384" t="s">
        <v>5</v>
      </c>
      <c r="H3" s="385" t="s">
        <v>6</v>
      </c>
      <c r="I3" s="386" t="s">
        <v>7</v>
      </c>
      <c r="L3" t="s">
        <v>28</v>
      </c>
      <c r="P3" s="178" t="s">
        <v>26</v>
      </c>
      <c r="Q3" s="179" t="s">
        <v>27</v>
      </c>
    </row>
    <row r="4" spans="1:22" ht="16.5" thickTop="1" thickBot="1" x14ac:dyDescent="0.3">
      <c r="B4" t="s">
        <v>76</v>
      </c>
      <c r="C4" t="s">
        <v>79</v>
      </c>
      <c r="D4" t="s">
        <v>19</v>
      </c>
      <c r="F4" s="2" t="s">
        <v>78</v>
      </c>
      <c r="G4" s="128">
        <f>'Nouveau taux'!C7</f>
        <v>60.95</v>
      </c>
      <c r="H4" s="127">
        <f>'Nouveau taux'!D7</f>
        <v>88.34</v>
      </c>
      <c r="I4" s="129">
        <f>'Nouveau taux'!E7</f>
        <v>113.07</v>
      </c>
      <c r="L4" t="s">
        <v>86</v>
      </c>
      <c r="O4" s="2" t="s">
        <v>12</v>
      </c>
      <c r="P4" s="133">
        <f>'Nouveau taux'!H7</f>
        <v>13.41</v>
      </c>
      <c r="Q4" s="133">
        <f>'Nouveau taux'!I7</f>
        <v>17.84</v>
      </c>
    </row>
    <row r="5" spans="1:22" ht="16.5" thickTop="1" thickBot="1" x14ac:dyDescent="0.3">
      <c r="B5" t="s">
        <v>77</v>
      </c>
      <c r="C5" t="s">
        <v>80</v>
      </c>
      <c r="D5" t="s">
        <v>20</v>
      </c>
      <c r="F5" s="2" t="s">
        <v>79</v>
      </c>
      <c r="G5" s="128">
        <f>'Nouveau taux'!C8</f>
        <v>91.43</v>
      </c>
      <c r="H5" s="127">
        <f>'Nouveau taux'!D8</f>
        <v>132.5</v>
      </c>
      <c r="I5" s="129">
        <f>'Nouveau taux'!E8</f>
        <v>169.6</v>
      </c>
      <c r="L5" t="s">
        <v>87</v>
      </c>
      <c r="O5" s="2" t="s">
        <v>13</v>
      </c>
      <c r="P5" s="133">
        <f>'Nouveau taux'!H8</f>
        <v>25.49</v>
      </c>
      <c r="Q5" s="133">
        <f>'Nouveau taux'!I8</f>
        <v>33.9</v>
      </c>
    </row>
    <row r="6" spans="1:22" ht="16.5" thickTop="1" thickBot="1" x14ac:dyDescent="0.3">
      <c r="B6" t="s">
        <v>8</v>
      </c>
      <c r="C6" t="s">
        <v>11</v>
      </c>
      <c r="D6" s="298">
        <f>Calculateur!I4</f>
        <v>0</v>
      </c>
      <c r="E6" t="s">
        <v>288</v>
      </c>
      <c r="F6" s="2" t="s">
        <v>80</v>
      </c>
      <c r="G6" s="128">
        <f>'Nouveau taux'!C9</f>
        <v>146.28</v>
      </c>
      <c r="H6" s="127">
        <f>'Nouveau taux'!D9</f>
        <v>212.01</v>
      </c>
      <c r="I6" s="129">
        <f>'Nouveau taux'!E9</f>
        <v>271.37</v>
      </c>
      <c r="O6" s="2" t="s">
        <v>14</v>
      </c>
      <c r="P6" s="133">
        <f>'Nouveau taux'!H9</f>
        <v>32.19</v>
      </c>
      <c r="Q6" s="133">
        <f>'Nouveau taux'!I9</f>
        <v>42.82</v>
      </c>
    </row>
    <row r="7" spans="1:22" ht="15.75" thickTop="1" x14ac:dyDescent="0.25">
      <c r="F7" s="2" t="s">
        <v>11</v>
      </c>
      <c r="G7" s="128">
        <f>'Nouveau taux'!C10</f>
        <v>0</v>
      </c>
      <c r="H7" s="127">
        <f>'Nouveau taux'!D10</f>
        <v>0</v>
      </c>
      <c r="I7" s="129">
        <f>'Nouveau taux'!E10</f>
        <v>0</v>
      </c>
      <c r="O7" s="2" t="s">
        <v>11</v>
      </c>
      <c r="P7" s="133">
        <f>'Nouveau taux'!H10</f>
        <v>0</v>
      </c>
      <c r="Q7" s="133">
        <f>'Nouveau taux'!I10</f>
        <v>0</v>
      </c>
    </row>
    <row r="8" spans="1:22" ht="15.75" thickBot="1" x14ac:dyDescent="0.3">
      <c r="B8" t="s">
        <v>10</v>
      </c>
      <c r="C8" t="s">
        <v>10</v>
      </c>
      <c r="D8" t="s">
        <v>10</v>
      </c>
      <c r="G8" s="260" t="s">
        <v>21</v>
      </c>
      <c r="H8" s="281"/>
      <c r="I8" s="261"/>
      <c r="L8" t="s">
        <v>10</v>
      </c>
    </row>
    <row r="9" spans="1:22" ht="16.5" thickTop="1" thickBot="1" x14ac:dyDescent="0.3">
      <c r="B9" s="142" t="str">
        <f>IF(OR(Calculateur!B9="X",Calculateur!B9="x"),B3,IF(OR(Calculateur!B11="X",Calculateur!B11="x"),B4,IF(OR(Calculateur!B13="X",Calculateur!B13="x"),B5,B6)))</f>
        <v>Je suis couvert par l'assurance de mon conjoint</v>
      </c>
      <c r="C9" s="142" t="str">
        <f>IF(OR(Calculateur!Q9="X",Calculateur!Q9="x"),C3,IF(OR(Calculateur!Q11="X",Calculateur!Q11="x"),C4,IF(OR(Calculateur!Q13="X",Calculateur!Q13="x"),C5,IF(OR(Calculateur!Q15="X",Calculateur!Q15="x"),C6,""))))</f>
        <v/>
      </c>
      <c r="D9" s="142" t="str">
        <f>IF(D6&lt;65,Taux!D3,IF(AND(D6&gt;=65,OR(Calculateur!Q4="x",Calculateur!Q4="X")),Taux!D4,Taux!D5))</f>
        <v>Adhérent de moins de 65 ans</v>
      </c>
      <c r="E9" s="141"/>
      <c r="F9" s="140"/>
      <c r="G9" s="384" t="s">
        <v>5</v>
      </c>
      <c r="H9" s="385" t="s">
        <v>6</v>
      </c>
      <c r="I9" s="386" t="s">
        <v>7</v>
      </c>
      <c r="L9" s="154" t="str">
        <f>IF(OR(Calculateur!B19="X",Calculateur!B19="x"),L3,IF(OR(Calculateur!B21="X",Calculateur!B21="x"),L4,IF(OR(Calculateur!B23="X",Calculateur!B23="x"),L5,"")))</f>
        <v/>
      </c>
      <c r="M9" s="141"/>
      <c r="N9" s="140"/>
    </row>
    <row r="10" spans="1:22" ht="16.5" thickTop="1" thickBot="1" x14ac:dyDescent="0.3">
      <c r="F10" s="2" t="s">
        <v>78</v>
      </c>
      <c r="G10" s="128">
        <f>'Nouveau taux'!C13</f>
        <v>22.32</v>
      </c>
      <c r="H10" s="127">
        <f>'Nouveau taux'!D13</f>
        <v>32.35</v>
      </c>
      <c r="I10" s="129">
        <f>'Nouveau taux'!E13</f>
        <v>41.41</v>
      </c>
      <c r="L10" t="s">
        <v>29</v>
      </c>
      <c r="O10" s="2" t="s">
        <v>273</v>
      </c>
    </row>
    <row r="11" spans="1:22" ht="16.5" thickTop="1" thickBot="1" x14ac:dyDescent="0.3">
      <c r="F11" s="2" t="s">
        <v>79</v>
      </c>
      <c r="G11" s="128">
        <f>'Nouveau taux'!C14</f>
        <v>33.479999999999997</v>
      </c>
      <c r="H11" s="127">
        <f>'Nouveau taux'!D14</f>
        <v>48.53</v>
      </c>
      <c r="I11" s="129">
        <f>'Nouveau taux'!E14</f>
        <v>62.11</v>
      </c>
      <c r="L11" s="134" t="b">
        <v>1</v>
      </c>
      <c r="O11" s="155">
        <f>IF(OR(L9=L3,L12=TRUE),0,IF(L9=L4,IF(C9=C3,P4,IF(C9=C4,P5,IF(C9=C5,P6,P7))),IF(AND(L9=L5,L11=TRUE),IF(C9=C3,Q4,IF(C9=C4,Q5,IF(C9=C5,Q6,Q7))),0)))</f>
        <v>0</v>
      </c>
    </row>
    <row r="12" spans="1:22" ht="16.5" thickTop="1" thickBot="1" x14ac:dyDescent="0.3">
      <c r="F12" s="2" t="s">
        <v>80</v>
      </c>
      <c r="G12" s="128">
        <f>'Nouveau taux'!C15</f>
        <v>53.57</v>
      </c>
      <c r="H12" s="127">
        <f>'Nouveau taux'!D15</f>
        <v>77.64</v>
      </c>
      <c r="I12" s="129">
        <f>'Nouveau taux'!E15</f>
        <v>99.38</v>
      </c>
      <c r="L12" s="135" t="b">
        <v>0</v>
      </c>
    </row>
    <row r="13" spans="1:22" ht="15.75" thickTop="1" x14ac:dyDescent="0.25">
      <c r="F13" s="2" t="s">
        <v>11</v>
      </c>
      <c r="G13" s="128">
        <f>'Nouveau taux'!C16</f>
        <v>0</v>
      </c>
      <c r="H13" s="127">
        <f>'Nouveau taux'!D16</f>
        <v>0</v>
      </c>
      <c r="I13" s="129">
        <f>'Nouveau taux'!E16</f>
        <v>0</v>
      </c>
    </row>
    <row r="14" spans="1:22" ht="15.75" thickBot="1" x14ac:dyDescent="0.3">
      <c r="G14" s="260" t="s">
        <v>16</v>
      </c>
      <c r="H14" s="281"/>
      <c r="I14" s="261"/>
      <c r="L14" s="1" t="s">
        <v>35</v>
      </c>
      <c r="P14" t="s">
        <v>82</v>
      </c>
      <c r="R14" t="s">
        <v>36</v>
      </c>
    </row>
    <row r="15" spans="1:22" ht="16.5" thickTop="1" thickBot="1" x14ac:dyDescent="0.3">
      <c r="G15" s="384" t="s">
        <v>5</v>
      </c>
      <c r="H15" s="385" t="s">
        <v>6</v>
      </c>
      <c r="I15" s="386" t="s">
        <v>7</v>
      </c>
      <c r="L15" t="s">
        <v>32</v>
      </c>
      <c r="N15" t="s">
        <v>70</v>
      </c>
      <c r="P15" t="s">
        <v>94</v>
      </c>
      <c r="Q15" s="137">
        <f>'Nouveau taux'!M5</f>
        <v>2.8400000000000002E-2</v>
      </c>
      <c r="R15" s="321" t="s">
        <v>91</v>
      </c>
    </row>
    <row r="16" spans="1:22" ht="15.75" thickTop="1" x14ac:dyDescent="0.25">
      <c r="B16" s="145">
        <f>G10+G16</f>
        <v>186.7</v>
      </c>
      <c r="C16" s="146">
        <f t="shared" ref="C16:D19" si="0">H10+H16</f>
        <v>196.73</v>
      </c>
      <c r="D16" s="147">
        <f t="shared" si="0"/>
        <v>205.79</v>
      </c>
      <c r="F16" s="2" t="s">
        <v>78</v>
      </c>
      <c r="G16" s="128">
        <f>'Nouveau taux'!C19</f>
        <v>164.38</v>
      </c>
      <c r="H16" s="127">
        <f>'Nouveau taux'!D19</f>
        <v>164.38</v>
      </c>
      <c r="I16" s="129">
        <f>'Nouveau taux'!E19</f>
        <v>164.38</v>
      </c>
      <c r="L16" t="s">
        <v>33</v>
      </c>
      <c r="N16" s="111" t="s">
        <v>115</v>
      </c>
      <c r="P16" t="s">
        <v>95</v>
      </c>
      <c r="Q16" s="138">
        <f>'Nouveau taux'!M6</f>
        <v>0.83499999999999996</v>
      </c>
      <c r="R16" s="321" t="s">
        <v>92</v>
      </c>
      <c r="T16" s="334" t="s">
        <v>301</v>
      </c>
      <c r="U16" s="321"/>
      <c r="V16" s="321"/>
    </row>
    <row r="17" spans="2:24" ht="15.75" thickBot="1" x14ac:dyDescent="0.3">
      <c r="B17" s="148">
        <f t="shared" ref="B17:B19" si="1">G11+G17</f>
        <v>197.85999999999999</v>
      </c>
      <c r="C17" s="149">
        <f t="shared" si="0"/>
        <v>212.91</v>
      </c>
      <c r="D17" s="150">
        <f t="shared" si="0"/>
        <v>226.49</v>
      </c>
      <c r="F17" s="2" t="s">
        <v>79</v>
      </c>
      <c r="G17" s="128">
        <f>'Nouveau taux'!C20</f>
        <v>164.38</v>
      </c>
      <c r="H17" s="127">
        <f>'Nouveau taux'!D20</f>
        <v>164.38</v>
      </c>
      <c r="I17" s="129">
        <f>'Nouveau taux'!E20</f>
        <v>164.38</v>
      </c>
      <c r="L17" t="s">
        <v>10</v>
      </c>
      <c r="N17" t="s">
        <v>116</v>
      </c>
      <c r="P17" t="s">
        <v>306</v>
      </c>
      <c r="Q17" s="333">
        <f>1000*ROUNDDOWN(Calculateur!V61/1000,0)+IF(VALUE(RIGHT(Calculateur!V61,3))&lt;250,0,IF(VALUE(RIGHT(Calculateur!V61,3))&lt;750,500,1000))</f>
        <v>0</v>
      </c>
      <c r="R17" s="321" t="s">
        <v>93</v>
      </c>
      <c r="T17" s="111"/>
    </row>
    <row r="18" spans="2:24" ht="16.5" thickTop="1" thickBot="1" x14ac:dyDescent="0.3">
      <c r="B18" s="148">
        <f t="shared" si="1"/>
        <v>382.36</v>
      </c>
      <c r="C18" s="149">
        <f t="shared" si="0"/>
        <v>406.43</v>
      </c>
      <c r="D18" s="150">
        <f t="shared" si="0"/>
        <v>428.17</v>
      </c>
      <c r="F18" s="2" t="s">
        <v>80</v>
      </c>
      <c r="G18" s="128">
        <f>'Nouveau taux'!C21</f>
        <v>328.79</v>
      </c>
      <c r="H18" s="127">
        <f>'Nouveau taux'!D21</f>
        <v>328.79</v>
      </c>
      <c r="I18" s="129">
        <f>'Nouveau taux'!E21</f>
        <v>328.79</v>
      </c>
      <c r="L18" s="142">
        <f>IF(OR(Calculateur!B61="X",Calculateur!B61="x"),L15,IF(OR(Calculateur!B63="X",Calculateur!B63="x"),L16,0))</f>
        <v>0</v>
      </c>
      <c r="N18" t="s">
        <v>113</v>
      </c>
      <c r="P18" t="s">
        <v>69</v>
      </c>
      <c r="Q18" s="163">
        <f>IF(L18=L15,IF(N21="Une fois le salaire annuel",MAX(75000,Q17),IF(N21="Deux fois le salaire annuel",MAX(75000,2*Q17),IF(N21="La moitié du salaire annuel",MAX(37500,0.5*Q17),IF(N21="10 000$",10000,)))),0)</f>
        <v>0</v>
      </c>
      <c r="R18" s="321" t="s">
        <v>10</v>
      </c>
    </row>
    <row r="19" spans="2:24" ht="16.5" thickTop="1" thickBot="1" x14ac:dyDescent="0.3">
      <c r="B19" s="151">
        <f t="shared" si="1"/>
        <v>0</v>
      </c>
      <c r="C19" s="152">
        <f t="shared" si="0"/>
        <v>0</v>
      </c>
      <c r="D19" s="153">
        <f t="shared" si="0"/>
        <v>0</v>
      </c>
      <c r="F19" s="2" t="s">
        <v>11</v>
      </c>
      <c r="G19" s="130">
        <f>'Nouveau taux'!C22</f>
        <v>0</v>
      </c>
      <c r="H19" s="131">
        <f>'Nouveau taux'!D22</f>
        <v>0</v>
      </c>
      <c r="I19" s="132">
        <f>'Nouveau taux'!E22</f>
        <v>0</v>
      </c>
      <c r="L19" t="s">
        <v>34</v>
      </c>
      <c r="N19" t="s">
        <v>114</v>
      </c>
      <c r="P19" t="s">
        <v>84</v>
      </c>
      <c r="R19" s="154" t="str">
        <f>IF(D6&lt;65,Taux!R15,IF(D6&gt;=70,Taux!R17,Taux!R16))</f>
        <v>Moins de 65 ans</v>
      </c>
      <c r="S19" s="140"/>
    </row>
    <row r="20" spans="2:24" ht="16.5" thickTop="1" thickBot="1" x14ac:dyDescent="0.3">
      <c r="L20" s="142">
        <f>IF(L18=L15,Q15,0)</f>
        <v>0</v>
      </c>
      <c r="N20" t="s">
        <v>68</v>
      </c>
    </row>
    <row r="21" spans="2:24" ht="16.5" thickTop="1" thickBot="1" x14ac:dyDescent="0.3">
      <c r="F21" s="2" t="s">
        <v>273</v>
      </c>
      <c r="L21" t="s">
        <v>96</v>
      </c>
      <c r="M21" s="155">
        <f>IF(L18=L16,0,ROUND(Q15*Q18/1000,2)+Q16)</f>
        <v>0.83499999999999996</v>
      </c>
      <c r="N21" s="154" t="str">
        <f>IF(AND(ISBLANK(Calculateur!Q57),ISBLANK(Calculateur!Q59)),"",IF(OR(Calculateur!Q57="X",Calculateur!Q57="x"),Calculateur!S57,Calculateur!S59))</f>
        <v/>
      </c>
      <c r="O21" s="140"/>
    </row>
    <row r="22" spans="2:24" ht="16.5" thickTop="1" thickBot="1" x14ac:dyDescent="0.3">
      <c r="F22" s="155">
        <f>IF(B9=B3,IF(C9=C3,IF(D9=D3,G4,IF(D9=D4,G10,G10+G16)),IF(C9=C4,IF(D9=D3,G5,IF(D9=D4,G11,G11+G17)),IF(C9=C5,IF(D9=D3,G6,IF(D9=D4,G12,G12+G18)),IF(D9=D3,G7,IF(D9=D4,G13,G13+G19))))),IF(B9=B4,IF(C9=C3,IF(D9=D3,H4,IF(D9=D4,H10,H10+H16)),IF(C9=C4,IF(D9=D3,H5,IF(D9=D4,H11,H11+H17)),IF(C9=C5,IF(D9=D3,H6,IF(D9=D4,H12,H12+H18)),IF(D9=D3,H7,IF(D9=D4,H13,H13+H19))))),IF(B9=B5,IF(C9=C3,IF(D9=D3,I4,IF(D9=D4,I10,I10+I16)),IF(C9=C4,IF(D9=D3,I5,IF(D9=D4,I11,I11+I17)),IF(C9=C5,IF(D9=D3,I6,IF(D9=D4,I12,I12+I18)),IF(D9=D3,I7,IF(D9=D4,I13,I13+I19))))),0)))</f>
        <v>0</v>
      </c>
    </row>
    <row r="23" spans="2:24" ht="16.5" thickTop="1" thickBot="1" x14ac:dyDescent="0.3">
      <c r="F23" s="2" t="s">
        <v>274</v>
      </c>
    </row>
    <row r="24" spans="2:24" ht="16.5" thickTop="1" thickBot="1" x14ac:dyDescent="0.3">
      <c r="F24" s="158">
        <f>26*F22</f>
        <v>0</v>
      </c>
      <c r="L24" s="1" t="s">
        <v>61</v>
      </c>
      <c r="P24" t="s">
        <v>82</v>
      </c>
    </row>
    <row r="25" spans="2:24" ht="16.5" thickTop="1" thickBot="1" x14ac:dyDescent="0.3">
      <c r="L25" t="s">
        <v>32</v>
      </c>
      <c r="P25" s="159">
        <f>'Nouveau taux'!M7</f>
        <v>0.29499999999999998</v>
      </c>
    </row>
    <row r="26" spans="2:24" ht="16.5" thickTop="1" thickBot="1" x14ac:dyDescent="0.3">
      <c r="F26" t="s">
        <v>23</v>
      </c>
      <c r="G26" t="s">
        <v>24</v>
      </c>
      <c r="I26" s="1" t="s">
        <v>2</v>
      </c>
      <c r="L26" t="s">
        <v>33</v>
      </c>
    </row>
    <row r="27" spans="2:24" ht="16.5" thickTop="1" thickBot="1" x14ac:dyDescent="0.3">
      <c r="F27" s="139">
        <f>IF(OR(Calculateur!B43="X",Calculateur!B43="x"),Calculateur!D43,IF(OR(Calculateur!B35="X",Calculateur!B35="x"),Calculateur!D35,IF(OR(Calculateur!B37="X",Calculateur!B37="x"),Calculateur!D37,IF(OR(Calculateur!B39="X",Calculateur!B39="x"),Calculateur!D39,IF(OR(Calculateur!B41="X",Calculateur!B41="x"),Calculateur!D41,0)))))</f>
        <v>0</v>
      </c>
      <c r="G27" s="174" t="e">
        <f>IF(Calculateur!O37="",VLOOKUP(F27,Taux_courte,2,FALSE),0)</f>
        <v>#N/A</v>
      </c>
      <c r="I27" t="s">
        <v>31</v>
      </c>
      <c r="K27" t="s">
        <v>82</v>
      </c>
      <c r="L27" t="s">
        <v>10</v>
      </c>
    </row>
    <row r="28" spans="2:24" ht="16.5" thickTop="1" thickBot="1" x14ac:dyDescent="0.3">
      <c r="I28" t="s">
        <v>32</v>
      </c>
      <c r="K28" s="160">
        <f>'Nouveau taux'!S15</f>
        <v>0.44</v>
      </c>
      <c r="L28" s="136" t="str">
        <f>IF(OR(Calculateur!B74="X",Calculateur!B74="x"),L25,L26)</f>
        <v>Non</v>
      </c>
    </row>
    <row r="29" spans="2:24" ht="16.5" thickTop="1" thickBot="1" x14ac:dyDescent="0.3">
      <c r="I29" t="s">
        <v>33</v>
      </c>
      <c r="L29" t="s">
        <v>273</v>
      </c>
    </row>
    <row r="30" spans="2:24" ht="16.5" thickTop="1" thickBot="1" x14ac:dyDescent="0.3">
      <c r="B30" s="388" t="s">
        <v>1</v>
      </c>
      <c r="C30" s="388" t="s">
        <v>81</v>
      </c>
      <c r="I30" t="s">
        <v>10</v>
      </c>
      <c r="L30" s="159">
        <f>IF(AND(L28=L25,L18=L15),P25,0)</f>
        <v>0</v>
      </c>
    </row>
    <row r="31" spans="2:24" ht="16.5" thickTop="1" thickBot="1" x14ac:dyDescent="0.3">
      <c r="B31" s="389" t="s">
        <v>122</v>
      </c>
      <c r="C31" s="390">
        <f>_xlfn.IFNA(VLOOKUP(B31,'Nouveau taux'!$R$5:$S$10,2,FALSE),"Ajuster tableau dans TAUX")</f>
        <v>0.27900000000000003</v>
      </c>
      <c r="D31" t="s">
        <v>294</v>
      </c>
      <c r="I31" s="136">
        <f>IF(OR(Calculateur!B48="X",Calculateur!B48="x"),Calculateur!D48,IF(OR(Calculateur!B50="X",Calculateur!B50="x"),Calculateur!D50,0))</f>
        <v>0</v>
      </c>
      <c r="X31" t="b">
        <f>IF(R19=R16,N21=N18,FALSE)</f>
        <v>0</v>
      </c>
    </row>
    <row r="32" spans="2:24" ht="15.75" thickBot="1" x14ac:dyDescent="0.3">
      <c r="B32" s="389" t="s">
        <v>166</v>
      </c>
      <c r="C32" s="390">
        <f>_xlfn.IFNA(VLOOKUP(B32,'Nouveau taux'!$R$5:$S$10,2,FALSE),"Ajuster tableau dans TAUX")</f>
        <v>0.5</v>
      </c>
      <c r="E32" s="2"/>
      <c r="I32" t="s">
        <v>34</v>
      </c>
      <c r="L32" t="s">
        <v>99</v>
      </c>
    </row>
    <row r="33" spans="2:23" ht="16.5" thickTop="1" thickBot="1" x14ac:dyDescent="0.3">
      <c r="B33" s="389" t="s">
        <v>292</v>
      </c>
      <c r="C33" s="390">
        <f>_xlfn.IFNA(VLOOKUP(B33,'Nouveau taux'!$R$5:$S$10,2,FALSE),"Ajuster tableau dans TAUX")</f>
        <v>0.56999999999999995</v>
      </c>
      <c r="E33" s="2"/>
      <c r="I33" s="159">
        <f>IF(I31=I28,K28,0)</f>
        <v>0</v>
      </c>
      <c r="L33" t="s">
        <v>98</v>
      </c>
    </row>
    <row r="34" spans="2:23" ht="15.75" thickBot="1" x14ac:dyDescent="0.3">
      <c r="B34" s="389" t="s">
        <v>304</v>
      </c>
      <c r="C34" s="390">
        <f>_xlfn.IFNA(VLOOKUP(B34,'Nouveau taux'!$R$5:$S$10,2,FALSE),"Ajuster tableau dans TAUX")</f>
        <v>0.113</v>
      </c>
      <c r="E34" s="2"/>
      <c r="L34" t="s">
        <v>285</v>
      </c>
    </row>
    <row r="35" spans="2:23" ht="15.75" thickBot="1" x14ac:dyDescent="0.3">
      <c r="B35" s="389" t="s">
        <v>297</v>
      </c>
      <c r="C35" s="390">
        <f>_xlfn.IFNA(VLOOKUP(B35,'Nouveau taux'!$R$5:$S$10,2,FALSE),"Ajuster tableau dans TAUX")</f>
        <v>0.46800000000000003</v>
      </c>
      <c r="L35" s="1" t="s">
        <v>38</v>
      </c>
      <c r="P35" t="s">
        <v>45</v>
      </c>
      <c r="V35" t="s">
        <v>59</v>
      </c>
    </row>
    <row r="36" spans="2:23" ht="15.75" thickBot="1" x14ac:dyDescent="0.3">
      <c r="B36" s="391" t="s">
        <v>30</v>
      </c>
      <c r="C36" s="390">
        <f>_xlfn.IFNA(VLOOKUP(B36,'Nouveau taux'!$R$5:$S$10,2,FALSE),"Ajuster tableau dans TAUX")</f>
        <v>0</v>
      </c>
      <c r="L36" s="1" t="s">
        <v>64</v>
      </c>
      <c r="N36" s="1" t="s">
        <v>65</v>
      </c>
      <c r="Q36" s="510" t="s">
        <v>40</v>
      </c>
      <c r="R36" s="511"/>
      <c r="S36" s="511" t="s">
        <v>41</v>
      </c>
      <c r="T36" s="512"/>
      <c r="V36" s="9">
        <v>0</v>
      </c>
      <c r="W36" s="9">
        <v>0</v>
      </c>
    </row>
    <row r="37" spans="2:23" ht="16.5" thickTop="1" thickBot="1" x14ac:dyDescent="0.3">
      <c r="B37" s="309"/>
      <c r="L37" t="s">
        <v>32</v>
      </c>
      <c r="N37" t="s">
        <v>32</v>
      </c>
      <c r="P37" t="s">
        <v>46</v>
      </c>
      <c r="Q37" s="382" t="s">
        <v>43</v>
      </c>
      <c r="R37" s="176" t="s">
        <v>44</v>
      </c>
      <c r="S37" s="176" t="s">
        <v>47</v>
      </c>
      <c r="T37" s="383" t="s">
        <v>48</v>
      </c>
      <c r="V37" s="166">
        <v>20000</v>
      </c>
      <c r="W37" s="167">
        <v>25000</v>
      </c>
    </row>
    <row r="38" spans="2:23" ht="15.75" thickTop="1" x14ac:dyDescent="0.25">
      <c r="L38" t="s">
        <v>33</v>
      </c>
      <c r="N38" t="s">
        <v>33</v>
      </c>
      <c r="P38" t="s">
        <v>49</v>
      </c>
      <c r="Q38" s="417">
        <f>'Nouveau taux'!M10</f>
        <v>8.9999999999999993E-3</v>
      </c>
      <c r="R38" s="418">
        <f>'Nouveau taux'!N10</f>
        <v>1.2999999999999999E-2</v>
      </c>
      <c r="S38" s="418">
        <f>'Nouveau taux'!O10</f>
        <v>5.0000000000000001E-3</v>
      </c>
      <c r="T38" s="419">
        <f>'Nouveau taux'!P10</f>
        <v>6.0000000000000001E-3</v>
      </c>
      <c r="V38" s="168">
        <f>V37+20000</f>
        <v>40000</v>
      </c>
      <c r="W38" s="169">
        <f>W37+25000</f>
        <v>50000</v>
      </c>
    </row>
    <row r="39" spans="2:23" ht="15.75" thickBot="1" x14ac:dyDescent="0.3">
      <c r="L39" t="s">
        <v>10</v>
      </c>
      <c r="N39" t="s">
        <v>10</v>
      </c>
      <c r="P39" t="s">
        <v>50</v>
      </c>
      <c r="Q39" s="420">
        <f>'Nouveau taux'!M11</f>
        <v>8.9999999999999993E-3</v>
      </c>
      <c r="R39" s="421">
        <f>'Nouveau taux'!N11</f>
        <v>1.2999999999999999E-2</v>
      </c>
      <c r="S39" s="421">
        <f>'Nouveau taux'!O11</f>
        <v>5.0000000000000001E-3</v>
      </c>
      <c r="T39" s="422">
        <f>'Nouveau taux'!P11</f>
        <v>6.0000000000000001E-3</v>
      </c>
      <c r="V39" s="168">
        <f t="shared" ref="V39:V43" si="2">V38+20000</f>
        <v>60000</v>
      </c>
      <c r="W39" s="169">
        <f t="shared" ref="W39:W46" si="3">W38+25000</f>
        <v>75000</v>
      </c>
    </row>
    <row r="40" spans="2:23" ht="16.5" thickTop="1" thickBot="1" x14ac:dyDescent="0.3">
      <c r="L40" s="142" t="str">
        <f>IF(OR(Calculateur!B84="X",Calculateur!B84="x"),L37,L38)</f>
        <v>Non</v>
      </c>
      <c r="N40" s="142" t="str">
        <f>IF(OR(Calculateur!B101="X",Calculateur!B101="x"),N37,N38)</f>
        <v>Non</v>
      </c>
      <c r="P40" t="s">
        <v>51</v>
      </c>
      <c r="Q40" s="420">
        <f>'Nouveau taux'!M12</f>
        <v>8.9999999999999993E-3</v>
      </c>
      <c r="R40" s="421">
        <f>'Nouveau taux'!N12</f>
        <v>1.2999999999999999E-2</v>
      </c>
      <c r="S40" s="421">
        <f>'Nouveau taux'!O12</f>
        <v>5.0000000000000001E-3</v>
      </c>
      <c r="T40" s="422">
        <f>'Nouveau taux'!P12</f>
        <v>6.0000000000000001E-3</v>
      </c>
      <c r="V40" s="168">
        <f t="shared" si="2"/>
        <v>80000</v>
      </c>
      <c r="W40" s="169">
        <f t="shared" si="3"/>
        <v>100000</v>
      </c>
    </row>
    <row r="41" spans="2:23" ht="15.75" thickTop="1" x14ac:dyDescent="0.25">
      <c r="P41" t="s">
        <v>52</v>
      </c>
      <c r="Q41" s="420">
        <f>'Nouveau taux'!M13</f>
        <v>1.2E-2</v>
      </c>
      <c r="R41" s="421">
        <f>'Nouveau taux'!N13</f>
        <v>1.4999999999999999E-2</v>
      </c>
      <c r="S41" s="421">
        <f>'Nouveau taux'!O13</f>
        <v>6.0000000000000001E-3</v>
      </c>
      <c r="T41" s="422">
        <f>'Nouveau taux'!P13</f>
        <v>7.0000000000000001E-3</v>
      </c>
      <c r="V41" s="168">
        <f t="shared" si="2"/>
        <v>100000</v>
      </c>
      <c r="W41" s="169">
        <f t="shared" si="3"/>
        <v>125000</v>
      </c>
    </row>
    <row r="42" spans="2:23" x14ac:dyDescent="0.25">
      <c r="L42" t="s">
        <v>39</v>
      </c>
      <c r="N42" t="s">
        <v>39</v>
      </c>
      <c r="P42" t="s">
        <v>53</v>
      </c>
      <c r="Q42" s="420">
        <f>'Nouveau taux'!M14</f>
        <v>1.7000000000000001E-2</v>
      </c>
      <c r="R42" s="421">
        <f>'Nouveau taux'!N14</f>
        <v>2.5000000000000001E-2</v>
      </c>
      <c r="S42" s="421">
        <f>'Nouveau taux'!O14</f>
        <v>8.9999999999999993E-3</v>
      </c>
      <c r="T42" s="422">
        <f>'Nouveau taux'!P14</f>
        <v>1.2999999999999999E-2</v>
      </c>
      <c r="V42" s="168">
        <f t="shared" si="2"/>
        <v>120000</v>
      </c>
      <c r="W42" s="169">
        <f t="shared" si="3"/>
        <v>150000</v>
      </c>
    </row>
    <row r="43" spans="2:23" ht="15.75" thickBot="1" x14ac:dyDescent="0.3">
      <c r="L43" t="s">
        <v>40</v>
      </c>
      <c r="N43" t="s">
        <v>40</v>
      </c>
      <c r="P43" t="s">
        <v>54</v>
      </c>
      <c r="Q43" s="420">
        <f>'Nouveau taux'!M15</f>
        <v>2.8000000000000001E-2</v>
      </c>
      <c r="R43" s="421">
        <f>'Nouveau taux'!N15</f>
        <v>0.04</v>
      </c>
      <c r="S43" s="421">
        <f>'Nouveau taux'!O15</f>
        <v>1.2999999999999999E-2</v>
      </c>
      <c r="T43" s="422">
        <f>'Nouveau taux'!P15</f>
        <v>1.9E-2</v>
      </c>
      <c r="V43" s="170">
        <f t="shared" si="2"/>
        <v>140000</v>
      </c>
      <c r="W43" s="169">
        <f t="shared" si="3"/>
        <v>175000</v>
      </c>
    </row>
    <row r="44" spans="2:23" ht="16.5" thickTop="1" thickBot="1" x14ac:dyDescent="0.3">
      <c r="L44" t="s">
        <v>41</v>
      </c>
      <c r="N44" t="s">
        <v>41</v>
      </c>
      <c r="P44" t="s">
        <v>55</v>
      </c>
      <c r="Q44" s="420">
        <f>'Nouveau taux'!M16</f>
        <v>4.2000000000000003E-2</v>
      </c>
      <c r="R44" s="421">
        <f>'Nouveau taux'!N16</f>
        <v>6.3E-2</v>
      </c>
      <c r="S44" s="421">
        <f>'Nouveau taux'!O16</f>
        <v>2.4E-2</v>
      </c>
      <c r="T44" s="422">
        <f>'Nouveau taux'!P16</f>
        <v>2.9000000000000001E-2</v>
      </c>
      <c r="V44" t="s">
        <v>66</v>
      </c>
      <c r="W44" s="164">
        <f t="shared" si="3"/>
        <v>200000</v>
      </c>
    </row>
    <row r="45" spans="2:23" ht="16.5" thickTop="1" thickBot="1" x14ac:dyDescent="0.3">
      <c r="L45" t="s">
        <v>10</v>
      </c>
      <c r="N45" t="s">
        <v>10</v>
      </c>
      <c r="P45" t="s">
        <v>56</v>
      </c>
      <c r="Q45" s="420">
        <f>'Nouveau taux'!M17</f>
        <v>6.7000000000000004E-2</v>
      </c>
      <c r="R45" s="421">
        <f>'Nouveau taux'!N17</f>
        <v>0.104</v>
      </c>
      <c r="S45" s="421">
        <f>'Nouveau taux'!O17</f>
        <v>3.5999999999999997E-2</v>
      </c>
      <c r="T45" s="422">
        <f>'Nouveau taux'!P17</f>
        <v>5.7000000000000002E-2</v>
      </c>
      <c r="V45" s="155">
        <f>Calculateur!Y84</f>
        <v>0</v>
      </c>
      <c r="W45" s="164">
        <f t="shared" si="3"/>
        <v>225000</v>
      </c>
    </row>
    <row r="46" spans="2:23" ht="16.5" thickTop="1" thickBot="1" x14ac:dyDescent="0.3">
      <c r="L46" s="142" t="str">
        <f>IF(OR(Calculateur!I86="X",Calculateur!I86="x"),L44,L43)</f>
        <v>Homme</v>
      </c>
      <c r="N46" s="142" t="str">
        <f>IF(OR(Calculateur!I101="X",Calculateur!I101="x"),N43,N44)</f>
        <v>Femme</v>
      </c>
      <c r="P46" t="s">
        <v>57</v>
      </c>
      <c r="Q46" s="420">
        <f>'Nouveau taux'!M18</f>
        <v>0.113</v>
      </c>
      <c r="R46" s="421">
        <f>'Nouveau taux'!N18</f>
        <v>0.16400000000000001</v>
      </c>
      <c r="S46" s="421">
        <f>'Nouveau taux'!O18</f>
        <v>5.6000000000000001E-2</v>
      </c>
      <c r="T46" s="422">
        <f>'Nouveau taux'!P18</f>
        <v>8.4000000000000005E-2</v>
      </c>
      <c r="V46" t="s">
        <v>67</v>
      </c>
      <c r="W46" s="165">
        <f t="shared" si="3"/>
        <v>250000</v>
      </c>
    </row>
    <row r="47" spans="2:23" ht="16.5" thickTop="1" thickBot="1" x14ac:dyDescent="0.3">
      <c r="P47" t="s">
        <v>58</v>
      </c>
      <c r="Q47" s="420">
        <f>'Nouveau taux'!M19</f>
        <v>0.156</v>
      </c>
      <c r="R47" s="421">
        <f>'Nouveau taux'!N19</f>
        <v>0.255</v>
      </c>
      <c r="S47" s="421">
        <f>'Nouveau taux'!O19</f>
        <v>8.7999999999999995E-2</v>
      </c>
      <c r="T47" s="422">
        <f>'Nouveau taux'!P19</f>
        <v>0.13100000000000001</v>
      </c>
      <c r="V47" s="155">
        <f>Calculateur!Y101</f>
        <v>0</v>
      </c>
      <c r="W47" t="s">
        <v>66</v>
      </c>
    </row>
    <row r="48" spans="2:23" ht="16.5" thickTop="1" thickBot="1" x14ac:dyDescent="0.3">
      <c r="L48" t="s">
        <v>42</v>
      </c>
      <c r="P48" t="s">
        <v>351</v>
      </c>
      <c r="Q48" s="420">
        <f>'Nouveau taux'!M20</f>
        <v>0.27600000000000002</v>
      </c>
      <c r="R48" s="421">
        <f>'Nouveau taux'!N20</f>
        <v>0.39600000000000002</v>
      </c>
      <c r="S48" s="421">
        <f>'Nouveau taux'!O20</f>
        <v>0.14299999999999999</v>
      </c>
      <c r="T48" s="422">
        <f>'Nouveau taux'!P20</f>
        <v>0.184</v>
      </c>
      <c r="W48" s="155">
        <f>Calculateur!Y91</f>
        <v>0</v>
      </c>
    </row>
    <row r="49" spans="12:23" ht="16.5" thickTop="1" thickBot="1" x14ac:dyDescent="0.3">
      <c r="L49" t="s">
        <v>43</v>
      </c>
      <c r="N49" t="s">
        <v>43</v>
      </c>
      <c r="P49" t="s">
        <v>352</v>
      </c>
      <c r="Q49" s="423">
        <f>'Nouveau taux'!M21</f>
        <v>0.627</v>
      </c>
      <c r="R49" s="424">
        <f>'Nouveau taux'!N21</f>
        <v>0.67300000000000004</v>
      </c>
      <c r="S49" s="424">
        <f>'Nouveau taux'!O21</f>
        <v>0.376</v>
      </c>
      <c r="T49" s="425">
        <f>'Nouveau taux'!P21</f>
        <v>0.39600000000000002</v>
      </c>
      <c r="W49" t="s">
        <v>67</v>
      </c>
    </row>
    <row r="50" spans="12:23" ht="16.5" thickTop="1" thickBot="1" x14ac:dyDescent="0.3">
      <c r="L50" t="s">
        <v>44</v>
      </c>
      <c r="N50" t="s">
        <v>44</v>
      </c>
      <c r="P50" t="s">
        <v>71</v>
      </c>
      <c r="W50" s="155">
        <f>Calculateur!Y108</f>
        <v>0</v>
      </c>
    </row>
    <row r="51" spans="12:23" ht="16.5" thickTop="1" thickBot="1" x14ac:dyDescent="0.3">
      <c r="L51" t="s">
        <v>47</v>
      </c>
      <c r="N51" t="s">
        <v>47</v>
      </c>
      <c r="P51" s="142" t="e">
        <f>VLOOKUP(Calculateur!B93,$O$59:$P$145,2,FALSE)</f>
        <v>#N/A</v>
      </c>
      <c r="R51" t="s">
        <v>72</v>
      </c>
    </row>
    <row r="52" spans="12:23" ht="16.5" thickTop="1" thickBot="1" x14ac:dyDescent="0.3">
      <c r="L52" t="s">
        <v>48</v>
      </c>
      <c r="N52" t="s">
        <v>48</v>
      </c>
      <c r="P52" t="s">
        <v>341</v>
      </c>
      <c r="R52" s="159">
        <f>IF(ISERROR(P51),0,IF(AND(L40=L37,L18=L15,IF(R19=R15,N21=N19,IF(R19=R16,N21=N18,IF(R19=R17,N21=N16,FALSE)))),VLOOKUP(P51,P38:T49,M54,FALSE),0))</f>
        <v>0</v>
      </c>
    </row>
    <row r="53" spans="12:23" ht="16.5" thickTop="1" thickBot="1" x14ac:dyDescent="0.3">
      <c r="L53" t="s">
        <v>10</v>
      </c>
      <c r="N53" t="s">
        <v>10</v>
      </c>
      <c r="P53" s="142" t="e">
        <f>VLOOKUP(Calculateur!B110,$O$59:$P$110,2,FALSE)</f>
        <v>#N/A</v>
      </c>
      <c r="R53" t="s">
        <v>73</v>
      </c>
    </row>
    <row r="54" spans="12:23" ht="16.5" thickTop="1" thickBot="1" x14ac:dyDescent="0.3">
      <c r="L54" s="139" t="str">
        <f>IF(OR(Calculateur!I91="X",Calculateur!I91="x"),Calculateur!K91,Calculateur!K93)</f>
        <v>Fumeur</v>
      </c>
      <c r="M54" s="172">
        <f>IF(AND(L46=L43,OR(L54=L49,L54=L51)),2,IF(AND(L46=L43,OR(L54=L50,L54=L52)),3,IF(AND(L46=L44,OR(L54=L49,L54=L51)),4,5)))</f>
        <v>3</v>
      </c>
      <c r="N54" s="172" t="str">
        <f>IF(OR(Calculateur!I108="X",Calculateur!I108="x"),Calculateur!K108,Calculateur!K110)</f>
        <v>Fumeuse</v>
      </c>
      <c r="O54" s="173">
        <f>IF(AND(N46=N43,OR(N54=N49,N54=N51)),2,IF(AND(N46=N43,OR(N54=N50,N54=N52)),3,IF(AND(N46=N44,OR(N54=N49,N54=N51)),4,5)))</f>
        <v>5</v>
      </c>
      <c r="R54" s="159">
        <f>IF(ISERROR(P53),0,IF(AND(N40=N37,L28=L25,L18=L15),VLOOKUP(P53,P38:T47,O54,FALSE),0))</f>
        <v>0</v>
      </c>
    </row>
    <row r="55" spans="12:23" ht="15.75" thickTop="1" x14ac:dyDescent="0.25"/>
    <row r="56" spans="12:23" x14ac:dyDescent="0.25">
      <c r="L56" t="s">
        <v>102</v>
      </c>
    </row>
    <row r="57" spans="12:23" x14ac:dyDescent="0.25">
      <c r="L57" t="s">
        <v>103</v>
      </c>
    </row>
    <row r="58" spans="12:23" ht="15.75" thickBot="1" x14ac:dyDescent="0.3"/>
    <row r="59" spans="12:23" ht="15.75" thickTop="1" x14ac:dyDescent="0.25">
      <c r="O59" s="241">
        <v>18</v>
      </c>
      <c r="P59" s="171" t="s">
        <v>49</v>
      </c>
    </row>
    <row r="60" spans="12:23" x14ac:dyDescent="0.25">
      <c r="O60" s="243">
        <f>O59+1</f>
        <v>19</v>
      </c>
      <c r="P60" s="415" t="s">
        <v>49</v>
      </c>
    </row>
    <row r="61" spans="12:23" x14ac:dyDescent="0.25">
      <c r="O61" s="243">
        <f t="shared" ref="O61:O124" si="4">O60+1</f>
        <v>20</v>
      </c>
      <c r="P61" s="415" t="s">
        <v>49</v>
      </c>
    </row>
    <row r="62" spans="12:23" x14ac:dyDescent="0.25">
      <c r="O62" s="243">
        <f t="shared" si="4"/>
        <v>21</v>
      </c>
      <c r="P62" s="415" t="s">
        <v>49</v>
      </c>
    </row>
    <row r="63" spans="12:23" x14ac:dyDescent="0.25">
      <c r="O63" s="243">
        <f t="shared" si="4"/>
        <v>22</v>
      </c>
      <c r="P63" s="415" t="s">
        <v>49</v>
      </c>
    </row>
    <row r="64" spans="12:23" x14ac:dyDescent="0.25">
      <c r="O64" s="243">
        <f t="shared" si="4"/>
        <v>23</v>
      </c>
      <c r="P64" s="415" t="s">
        <v>49</v>
      </c>
    </row>
    <row r="65" spans="15:16" x14ac:dyDescent="0.25">
      <c r="O65" s="243">
        <f t="shared" si="4"/>
        <v>24</v>
      </c>
      <c r="P65" s="415" t="s">
        <v>49</v>
      </c>
    </row>
    <row r="66" spans="15:16" x14ac:dyDescent="0.25">
      <c r="O66" s="243">
        <f t="shared" si="4"/>
        <v>25</v>
      </c>
      <c r="P66" s="415" t="s">
        <v>50</v>
      </c>
    </row>
    <row r="67" spans="15:16" x14ac:dyDescent="0.25">
      <c r="O67" s="243">
        <f t="shared" si="4"/>
        <v>26</v>
      </c>
      <c r="P67" s="415" t="s">
        <v>50</v>
      </c>
    </row>
    <row r="68" spans="15:16" x14ac:dyDescent="0.25">
      <c r="O68" s="243">
        <f t="shared" si="4"/>
        <v>27</v>
      </c>
      <c r="P68" s="415" t="s">
        <v>50</v>
      </c>
    </row>
    <row r="69" spans="15:16" x14ac:dyDescent="0.25">
      <c r="O69" s="243">
        <f t="shared" si="4"/>
        <v>28</v>
      </c>
      <c r="P69" s="415" t="s">
        <v>50</v>
      </c>
    </row>
    <row r="70" spans="15:16" x14ac:dyDescent="0.25">
      <c r="O70" s="243">
        <f t="shared" si="4"/>
        <v>29</v>
      </c>
      <c r="P70" s="415" t="s">
        <v>50</v>
      </c>
    </row>
    <row r="71" spans="15:16" x14ac:dyDescent="0.25">
      <c r="O71" s="243">
        <f t="shared" si="4"/>
        <v>30</v>
      </c>
      <c r="P71" s="415" t="s">
        <v>51</v>
      </c>
    </row>
    <row r="72" spans="15:16" x14ac:dyDescent="0.25">
      <c r="O72" s="243">
        <f t="shared" si="4"/>
        <v>31</v>
      </c>
      <c r="P72" s="415" t="s">
        <v>51</v>
      </c>
    </row>
    <row r="73" spans="15:16" x14ac:dyDescent="0.25">
      <c r="O73" s="243">
        <f t="shared" si="4"/>
        <v>32</v>
      </c>
      <c r="P73" s="415" t="s">
        <v>51</v>
      </c>
    </row>
    <row r="74" spans="15:16" x14ac:dyDescent="0.25">
      <c r="O74" s="243">
        <f t="shared" si="4"/>
        <v>33</v>
      </c>
      <c r="P74" s="415" t="s">
        <v>51</v>
      </c>
    </row>
    <row r="75" spans="15:16" x14ac:dyDescent="0.25">
      <c r="O75" s="243">
        <f t="shared" si="4"/>
        <v>34</v>
      </c>
      <c r="P75" s="415" t="s">
        <v>51</v>
      </c>
    </row>
    <row r="76" spans="15:16" x14ac:dyDescent="0.25">
      <c r="O76" s="243">
        <f t="shared" si="4"/>
        <v>35</v>
      </c>
      <c r="P76" s="415" t="s">
        <v>52</v>
      </c>
    </row>
    <row r="77" spans="15:16" x14ac:dyDescent="0.25">
      <c r="O77" s="243">
        <f t="shared" si="4"/>
        <v>36</v>
      </c>
      <c r="P77" s="415" t="s">
        <v>52</v>
      </c>
    </row>
    <row r="78" spans="15:16" x14ac:dyDescent="0.25">
      <c r="O78" s="243">
        <f t="shared" si="4"/>
        <v>37</v>
      </c>
      <c r="P78" s="415" t="s">
        <v>52</v>
      </c>
    </row>
    <row r="79" spans="15:16" x14ac:dyDescent="0.25">
      <c r="O79" s="243">
        <f t="shared" si="4"/>
        <v>38</v>
      </c>
      <c r="P79" s="415" t="s">
        <v>52</v>
      </c>
    </row>
    <row r="80" spans="15:16" x14ac:dyDescent="0.25">
      <c r="O80" s="243">
        <f t="shared" si="4"/>
        <v>39</v>
      </c>
      <c r="P80" s="415" t="s">
        <v>52</v>
      </c>
    </row>
    <row r="81" spans="15:16" x14ac:dyDescent="0.25">
      <c r="O81" s="243">
        <f t="shared" si="4"/>
        <v>40</v>
      </c>
      <c r="P81" s="415" t="s">
        <v>53</v>
      </c>
    </row>
    <row r="82" spans="15:16" x14ac:dyDescent="0.25">
      <c r="O82" s="243">
        <f t="shared" si="4"/>
        <v>41</v>
      </c>
      <c r="P82" s="415" t="s">
        <v>53</v>
      </c>
    </row>
    <row r="83" spans="15:16" x14ac:dyDescent="0.25">
      <c r="O83" s="243">
        <f t="shared" si="4"/>
        <v>42</v>
      </c>
      <c r="P83" s="415" t="s">
        <v>53</v>
      </c>
    </row>
    <row r="84" spans="15:16" x14ac:dyDescent="0.25">
      <c r="O84" s="243">
        <f t="shared" si="4"/>
        <v>43</v>
      </c>
      <c r="P84" s="415" t="s">
        <v>53</v>
      </c>
    </row>
    <row r="85" spans="15:16" x14ac:dyDescent="0.25">
      <c r="O85" s="243">
        <f t="shared" si="4"/>
        <v>44</v>
      </c>
      <c r="P85" s="415" t="s">
        <v>53</v>
      </c>
    </row>
    <row r="86" spans="15:16" x14ac:dyDescent="0.25">
      <c r="O86" s="243">
        <f t="shared" si="4"/>
        <v>45</v>
      </c>
      <c r="P86" s="415" t="s">
        <v>54</v>
      </c>
    </row>
    <row r="87" spans="15:16" x14ac:dyDescent="0.25">
      <c r="O87" s="243">
        <f t="shared" si="4"/>
        <v>46</v>
      </c>
      <c r="P87" s="415" t="s">
        <v>54</v>
      </c>
    </row>
    <row r="88" spans="15:16" x14ac:dyDescent="0.25">
      <c r="O88" s="243">
        <f t="shared" si="4"/>
        <v>47</v>
      </c>
      <c r="P88" s="415" t="s">
        <v>54</v>
      </c>
    </row>
    <row r="89" spans="15:16" x14ac:dyDescent="0.25">
      <c r="O89" s="243">
        <f t="shared" si="4"/>
        <v>48</v>
      </c>
      <c r="P89" s="415" t="s">
        <v>54</v>
      </c>
    </row>
    <row r="90" spans="15:16" x14ac:dyDescent="0.25">
      <c r="O90" s="243">
        <f t="shared" si="4"/>
        <v>49</v>
      </c>
      <c r="P90" s="415" t="s">
        <v>54</v>
      </c>
    </row>
    <row r="91" spans="15:16" x14ac:dyDescent="0.25">
      <c r="O91" s="243">
        <f t="shared" si="4"/>
        <v>50</v>
      </c>
      <c r="P91" s="415" t="s">
        <v>55</v>
      </c>
    </row>
    <row r="92" spans="15:16" x14ac:dyDescent="0.25">
      <c r="O92" s="243">
        <f t="shared" si="4"/>
        <v>51</v>
      </c>
      <c r="P92" s="415" t="s">
        <v>55</v>
      </c>
    </row>
    <row r="93" spans="15:16" x14ac:dyDescent="0.25">
      <c r="O93" s="243">
        <f t="shared" si="4"/>
        <v>52</v>
      </c>
      <c r="P93" s="415" t="s">
        <v>55</v>
      </c>
    </row>
    <row r="94" spans="15:16" x14ac:dyDescent="0.25">
      <c r="O94" s="243">
        <f t="shared" si="4"/>
        <v>53</v>
      </c>
      <c r="P94" s="415" t="s">
        <v>55</v>
      </c>
    </row>
    <row r="95" spans="15:16" x14ac:dyDescent="0.25">
      <c r="O95" s="243">
        <f t="shared" si="4"/>
        <v>54</v>
      </c>
      <c r="P95" s="415" t="s">
        <v>55</v>
      </c>
    </row>
    <row r="96" spans="15:16" x14ac:dyDescent="0.25">
      <c r="O96" s="243">
        <f t="shared" si="4"/>
        <v>55</v>
      </c>
      <c r="P96" s="415" t="s">
        <v>56</v>
      </c>
    </row>
    <row r="97" spans="15:16" x14ac:dyDescent="0.25">
      <c r="O97" s="243">
        <f t="shared" si="4"/>
        <v>56</v>
      </c>
      <c r="P97" s="415" t="s">
        <v>56</v>
      </c>
    </row>
    <row r="98" spans="15:16" x14ac:dyDescent="0.25">
      <c r="O98" s="243">
        <f t="shared" si="4"/>
        <v>57</v>
      </c>
      <c r="P98" s="415" t="s">
        <v>56</v>
      </c>
    </row>
    <row r="99" spans="15:16" x14ac:dyDescent="0.25">
      <c r="O99" s="243">
        <f t="shared" si="4"/>
        <v>58</v>
      </c>
      <c r="P99" s="415" t="s">
        <v>56</v>
      </c>
    </row>
    <row r="100" spans="15:16" x14ac:dyDescent="0.25">
      <c r="O100" s="243">
        <f t="shared" si="4"/>
        <v>59</v>
      </c>
      <c r="P100" s="415" t="s">
        <v>56</v>
      </c>
    </row>
    <row r="101" spans="15:16" x14ac:dyDescent="0.25">
      <c r="O101" s="243">
        <f t="shared" si="4"/>
        <v>60</v>
      </c>
      <c r="P101" s="415" t="s">
        <v>57</v>
      </c>
    </row>
    <row r="102" spans="15:16" x14ac:dyDescent="0.25">
      <c r="O102" s="243">
        <f t="shared" si="4"/>
        <v>61</v>
      </c>
      <c r="P102" s="415" t="s">
        <v>57</v>
      </c>
    </row>
    <row r="103" spans="15:16" x14ac:dyDescent="0.25">
      <c r="O103" s="243">
        <f t="shared" si="4"/>
        <v>62</v>
      </c>
      <c r="P103" s="415" t="s">
        <v>57</v>
      </c>
    </row>
    <row r="104" spans="15:16" x14ac:dyDescent="0.25">
      <c r="O104" s="243">
        <f t="shared" si="4"/>
        <v>63</v>
      </c>
      <c r="P104" s="415" t="s">
        <v>57</v>
      </c>
    </row>
    <row r="105" spans="15:16" x14ac:dyDescent="0.25">
      <c r="O105" s="243">
        <f t="shared" si="4"/>
        <v>64</v>
      </c>
      <c r="P105" s="415" t="s">
        <v>57</v>
      </c>
    </row>
    <row r="106" spans="15:16" x14ac:dyDescent="0.25">
      <c r="O106" s="243">
        <f t="shared" si="4"/>
        <v>65</v>
      </c>
      <c r="P106" s="415" t="s">
        <v>58</v>
      </c>
    </row>
    <row r="107" spans="15:16" x14ac:dyDescent="0.25">
      <c r="O107" s="243">
        <f t="shared" si="4"/>
        <v>66</v>
      </c>
      <c r="P107" s="415" t="s">
        <v>58</v>
      </c>
    </row>
    <row r="108" spans="15:16" x14ac:dyDescent="0.25">
      <c r="O108" s="243">
        <f t="shared" si="4"/>
        <v>67</v>
      </c>
      <c r="P108" s="415" t="s">
        <v>58</v>
      </c>
    </row>
    <row r="109" spans="15:16" x14ac:dyDescent="0.25">
      <c r="O109" s="243">
        <f t="shared" si="4"/>
        <v>68</v>
      </c>
      <c r="P109" s="415" t="s">
        <v>58</v>
      </c>
    </row>
    <row r="110" spans="15:16" x14ac:dyDescent="0.25">
      <c r="O110" s="243">
        <f t="shared" si="4"/>
        <v>69</v>
      </c>
      <c r="P110" s="415" t="s">
        <v>58</v>
      </c>
    </row>
    <row r="111" spans="15:16" x14ac:dyDescent="0.25">
      <c r="O111" s="243">
        <f t="shared" si="4"/>
        <v>70</v>
      </c>
      <c r="P111" s="415" t="s">
        <v>351</v>
      </c>
    </row>
    <row r="112" spans="15:16" x14ac:dyDescent="0.25">
      <c r="O112" s="243">
        <f t="shared" si="4"/>
        <v>71</v>
      </c>
      <c r="P112" s="415" t="s">
        <v>351</v>
      </c>
    </row>
    <row r="113" spans="15:16" x14ac:dyDescent="0.25">
      <c r="O113" s="243">
        <f t="shared" si="4"/>
        <v>72</v>
      </c>
      <c r="P113" s="415" t="s">
        <v>351</v>
      </c>
    </row>
    <row r="114" spans="15:16" x14ac:dyDescent="0.25">
      <c r="O114" s="243">
        <f t="shared" si="4"/>
        <v>73</v>
      </c>
      <c r="P114" s="415" t="s">
        <v>351</v>
      </c>
    </row>
    <row r="115" spans="15:16" x14ac:dyDescent="0.25">
      <c r="O115" s="243">
        <f t="shared" si="4"/>
        <v>74</v>
      </c>
      <c r="P115" s="415" t="s">
        <v>351</v>
      </c>
    </row>
    <row r="116" spans="15:16" x14ac:dyDescent="0.25">
      <c r="O116" s="243">
        <f t="shared" si="4"/>
        <v>75</v>
      </c>
      <c r="P116" s="415" t="s">
        <v>352</v>
      </c>
    </row>
    <row r="117" spans="15:16" x14ac:dyDescent="0.25">
      <c r="O117" s="243">
        <f t="shared" si="4"/>
        <v>76</v>
      </c>
      <c r="P117" s="415" t="s">
        <v>352</v>
      </c>
    </row>
    <row r="118" spans="15:16" x14ac:dyDescent="0.25">
      <c r="O118" s="243">
        <f t="shared" si="4"/>
        <v>77</v>
      </c>
      <c r="P118" s="415" t="s">
        <v>352</v>
      </c>
    </row>
    <row r="119" spans="15:16" x14ac:dyDescent="0.25">
      <c r="O119" s="243">
        <f t="shared" si="4"/>
        <v>78</v>
      </c>
      <c r="P119" s="415" t="s">
        <v>352</v>
      </c>
    </row>
    <row r="120" spans="15:16" x14ac:dyDescent="0.25">
      <c r="O120" s="243">
        <f t="shared" si="4"/>
        <v>79</v>
      </c>
      <c r="P120" s="415" t="s">
        <v>352</v>
      </c>
    </row>
    <row r="121" spans="15:16" x14ac:dyDescent="0.25">
      <c r="O121" s="243">
        <f t="shared" si="4"/>
        <v>80</v>
      </c>
      <c r="P121" s="415" t="s">
        <v>352</v>
      </c>
    </row>
    <row r="122" spans="15:16" x14ac:dyDescent="0.25">
      <c r="O122" s="243">
        <f t="shared" si="4"/>
        <v>81</v>
      </c>
      <c r="P122" s="415" t="s">
        <v>352</v>
      </c>
    </row>
    <row r="123" spans="15:16" x14ac:dyDescent="0.25">
      <c r="O123" s="243">
        <f t="shared" si="4"/>
        <v>82</v>
      </c>
      <c r="P123" s="415" t="s">
        <v>352</v>
      </c>
    </row>
    <row r="124" spans="15:16" x14ac:dyDescent="0.25">
      <c r="O124" s="243">
        <f t="shared" si="4"/>
        <v>83</v>
      </c>
      <c r="P124" s="415" t="s">
        <v>352</v>
      </c>
    </row>
    <row r="125" spans="15:16" x14ac:dyDescent="0.25">
      <c r="O125" s="243">
        <f t="shared" ref="O125:O145" si="5">O124+1</f>
        <v>84</v>
      </c>
      <c r="P125" s="415" t="s">
        <v>352</v>
      </c>
    </row>
    <row r="126" spans="15:16" x14ac:dyDescent="0.25">
      <c r="O126" s="243">
        <f t="shared" si="5"/>
        <v>85</v>
      </c>
      <c r="P126" s="415" t="s">
        <v>352</v>
      </c>
    </row>
    <row r="127" spans="15:16" x14ac:dyDescent="0.25">
      <c r="O127" s="243">
        <f t="shared" si="5"/>
        <v>86</v>
      </c>
      <c r="P127" s="415" t="s">
        <v>352</v>
      </c>
    </row>
    <row r="128" spans="15:16" x14ac:dyDescent="0.25">
      <c r="O128" s="243">
        <f t="shared" si="5"/>
        <v>87</v>
      </c>
      <c r="P128" s="415" t="s">
        <v>352</v>
      </c>
    </row>
    <row r="129" spans="15:16" x14ac:dyDescent="0.25">
      <c r="O129" s="243">
        <f t="shared" si="5"/>
        <v>88</v>
      </c>
      <c r="P129" s="415" t="s">
        <v>352</v>
      </c>
    </row>
    <row r="130" spans="15:16" x14ac:dyDescent="0.25">
      <c r="O130" s="243">
        <f t="shared" si="5"/>
        <v>89</v>
      </c>
      <c r="P130" s="415" t="s">
        <v>352</v>
      </c>
    </row>
    <row r="131" spans="15:16" x14ac:dyDescent="0.25">
      <c r="O131" s="243">
        <f t="shared" si="5"/>
        <v>90</v>
      </c>
      <c r="P131" s="415" t="s">
        <v>352</v>
      </c>
    </row>
    <row r="132" spans="15:16" x14ac:dyDescent="0.25">
      <c r="O132" s="243">
        <f t="shared" si="5"/>
        <v>91</v>
      </c>
      <c r="P132" s="415" t="s">
        <v>352</v>
      </c>
    </row>
    <row r="133" spans="15:16" x14ac:dyDescent="0.25">
      <c r="O133" s="243">
        <f t="shared" si="5"/>
        <v>92</v>
      </c>
      <c r="P133" s="415" t="s">
        <v>352</v>
      </c>
    </row>
    <row r="134" spans="15:16" x14ac:dyDescent="0.25">
      <c r="O134" s="243">
        <f t="shared" si="5"/>
        <v>93</v>
      </c>
      <c r="P134" s="415" t="s">
        <v>352</v>
      </c>
    </row>
    <row r="135" spans="15:16" x14ac:dyDescent="0.25">
      <c r="O135" s="243">
        <f t="shared" si="5"/>
        <v>94</v>
      </c>
      <c r="P135" s="415" t="s">
        <v>352</v>
      </c>
    </row>
    <row r="136" spans="15:16" x14ac:dyDescent="0.25">
      <c r="O136" s="243">
        <f t="shared" si="5"/>
        <v>95</v>
      </c>
      <c r="P136" s="415" t="s">
        <v>352</v>
      </c>
    </row>
    <row r="137" spans="15:16" x14ac:dyDescent="0.25">
      <c r="O137" s="243">
        <f t="shared" si="5"/>
        <v>96</v>
      </c>
      <c r="P137" s="415" t="s">
        <v>352</v>
      </c>
    </row>
    <row r="138" spans="15:16" x14ac:dyDescent="0.25">
      <c r="O138" s="243">
        <f t="shared" si="5"/>
        <v>97</v>
      </c>
      <c r="P138" s="415" t="s">
        <v>352</v>
      </c>
    </row>
    <row r="139" spans="15:16" x14ac:dyDescent="0.25">
      <c r="O139" s="243">
        <f t="shared" si="5"/>
        <v>98</v>
      </c>
      <c r="P139" s="415" t="s">
        <v>352</v>
      </c>
    </row>
    <row r="140" spans="15:16" x14ac:dyDescent="0.25">
      <c r="O140" s="243">
        <f t="shared" si="5"/>
        <v>99</v>
      </c>
      <c r="P140" s="415" t="s">
        <v>352</v>
      </c>
    </row>
    <row r="141" spans="15:16" x14ac:dyDescent="0.25">
      <c r="O141" s="243">
        <f t="shared" si="5"/>
        <v>100</v>
      </c>
      <c r="P141" s="415" t="s">
        <v>352</v>
      </c>
    </row>
    <row r="142" spans="15:16" x14ac:dyDescent="0.25">
      <c r="O142" s="243">
        <f t="shared" si="5"/>
        <v>101</v>
      </c>
      <c r="P142" s="415" t="s">
        <v>352</v>
      </c>
    </row>
    <row r="143" spans="15:16" x14ac:dyDescent="0.25">
      <c r="O143" s="243">
        <f t="shared" si="5"/>
        <v>102</v>
      </c>
      <c r="P143" s="415" t="s">
        <v>352</v>
      </c>
    </row>
    <row r="144" spans="15:16" x14ac:dyDescent="0.25">
      <c r="O144" s="243">
        <f t="shared" si="5"/>
        <v>103</v>
      </c>
      <c r="P144" s="415" t="s">
        <v>352</v>
      </c>
    </row>
    <row r="145" spans="15:16" ht="15.75" thickBot="1" x14ac:dyDescent="0.3">
      <c r="O145" s="246">
        <f t="shared" si="5"/>
        <v>104</v>
      </c>
      <c r="P145" s="416" t="s">
        <v>352</v>
      </c>
    </row>
    <row r="146" spans="15:16" ht="15.75" thickTop="1" x14ac:dyDescent="0.25"/>
  </sheetData>
  <mergeCells count="2">
    <mergeCell ref="Q36:R36"/>
    <mergeCell ref="S36:T36"/>
  </mergeCells>
  <phoneticPr fontId="29"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W144"/>
  <sheetViews>
    <sheetView zoomScale="90" zoomScaleNormal="90" workbookViewId="0">
      <selection activeCell="F5" sqref="F5"/>
    </sheetView>
  </sheetViews>
  <sheetFormatPr baseColWidth="10" defaultColWidth="11.42578125" defaultRowHeight="15" x14ac:dyDescent="0.25"/>
  <cols>
    <col min="2" max="2" width="40.140625" customWidth="1"/>
    <col min="3" max="3" width="13.28515625" customWidth="1"/>
    <col min="5" max="5" width="33.7109375" customWidth="1"/>
    <col min="6" max="6" width="21.85546875" customWidth="1"/>
    <col min="13" max="13" width="14.7109375" customWidth="1"/>
    <col min="16" max="16" width="13.140625" customWidth="1"/>
    <col min="22" max="22" width="13.7109375" customWidth="1"/>
    <col min="23" max="23" width="13.42578125" bestFit="1" customWidth="1"/>
  </cols>
  <sheetData>
    <row r="1" spans="1:18" x14ac:dyDescent="0.25">
      <c r="A1" s="338" t="s">
        <v>303</v>
      </c>
    </row>
    <row r="2" spans="1:18" ht="15.75" thickBot="1" x14ac:dyDescent="0.3">
      <c r="B2" s="192" t="s">
        <v>168</v>
      </c>
      <c r="C2" s="192" t="s">
        <v>169</v>
      </c>
      <c r="D2" s="192" t="s">
        <v>170</v>
      </c>
      <c r="E2" s="1"/>
      <c r="F2" s="192" t="s">
        <v>171</v>
      </c>
      <c r="G2" s="229" t="s">
        <v>172</v>
      </c>
      <c r="H2" s="230"/>
      <c r="I2" s="230"/>
      <c r="J2" s="231"/>
      <c r="L2" s="192" t="s">
        <v>173</v>
      </c>
      <c r="O2" t="s">
        <v>174</v>
      </c>
    </row>
    <row r="3" spans="1:18" ht="16.5" thickTop="1" thickBot="1" x14ac:dyDescent="0.3">
      <c r="B3" t="s">
        <v>175</v>
      </c>
      <c r="C3" t="s">
        <v>176</v>
      </c>
      <c r="D3" t="s">
        <v>177</v>
      </c>
      <c r="G3" s="232" t="s">
        <v>5</v>
      </c>
      <c r="H3" s="233" t="s">
        <v>6</v>
      </c>
      <c r="I3" s="233" t="s">
        <v>7</v>
      </c>
      <c r="J3" s="234"/>
      <c r="L3" s="211" t="s">
        <v>135</v>
      </c>
      <c r="P3" s="178" t="s">
        <v>26</v>
      </c>
      <c r="Q3" s="179" t="s">
        <v>27</v>
      </c>
    </row>
    <row r="4" spans="1:18" ht="15.75" thickTop="1" x14ac:dyDescent="0.25">
      <c r="B4" t="s">
        <v>178</v>
      </c>
      <c r="C4" t="s">
        <v>179</v>
      </c>
      <c r="D4" t="s">
        <v>180</v>
      </c>
      <c r="F4" s="2" t="s">
        <v>176</v>
      </c>
      <c r="G4" s="235">
        <f>Taux!G4</f>
        <v>60.95</v>
      </c>
      <c r="H4" s="236">
        <f>Taux!H4</f>
        <v>88.34</v>
      </c>
      <c r="I4" s="237">
        <f>Taux!I4</f>
        <v>113.07</v>
      </c>
      <c r="J4" s="234"/>
      <c r="L4" t="s">
        <v>181</v>
      </c>
      <c r="O4" s="2" t="s">
        <v>182</v>
      </c>
      <c r="P4" s="235">
        <f>Taux!P4</f>
        <v>13.41</v>
      </c>
      <c r="Q4" s="237">
        <f>Taux!Q4</f>
        <v>17.84</v>
      </c>
    </row>
    <row r="5" spans="1:18" ht="15.75" thickBot="1" x14ac:dyDescent="0.3">
      <c r="B5" t="s">
        <v>183</v>
      </c>
      <c r="C5" t="s">
        <v>184</v>
      </c>
      <c r="D5" t="s">
        <v>185</v>
      </c>
      <c r="F5" s="2" t="s">
        <v>179</v>
      </c>
      <c r="G5" s="128">
        <f>Taux!G5</f>
        <v>91.43</v>
      </c>
      <c r="H5" s="127">
        <f>Taux!H5</f>
        <v>132.5</v>
      </c>
      <c r="I5" s="129">
        <f>Taux!I5</f>
        <v>169.6</v>
      </c>
      <c r="J5" s="234"/>
      <c r="L5" t="s">
        <v>186</v>
      </c>
      <c r="O5" s="2" t="s">
        <v>187</v>
      </c>
      <c r="P5" s="128">
        <f>Taux!P5</f>
        <v>25.49</v>
      </c>
      <c r="Q5" s="129">
        <f>Taux!Q5</f>
        <v>33.9</v>
      </c>
    </row>
    <row r="6" spans="1:18" ht="16.5" thickTop="1" thickBot="1" x14ac:dyDescent="0.3">
      <c r="B6" t="s">
        <v>188</v>
      </c>
      <c r="C6" t="s">
        <v>189</v>
      </c>
      <c r="D6" s="298">
        <f>Calculator!I4</f>
        <v>0</v>
      </c>
      <c r="E6" t="s">
        <v>289</v>
      </c>
      <c r="F6" s="2" t="s">
        <v>184</v>
      </c>
      <c r="G6" s="128">
        <f>Taux!G6</f>
        <v>146.28</v>
      </c>
      <c r="H6" s="127">
        <f>Taux!H6</f>
        <v>212.01</v>
      </c>
      <c r="I6" s="129">
        <f>Taux!I6</f>
        <v>271.37</v>
      </c>
      <c r="J6" s="234"/>
      <c r="O6" s="2" t="s">
        <v>190</v>
      </c>
      <c r="P6" s="128">
        <f>Taux!P6</f>
        <v>32.19</v>
      </c>
      <c r="Q6" s="129">
        <f>Taux!Q6</f>
        <v>42.82</v>
      </c>
    </row>
    <row r="7" spans="1:18" ht="16.5" thickTop="1" thickBot="1" x14ac:dyDescent="0.3">
      <c r="F7" s="2" t="s">
        <v>189</v>
      </c>
      <c r="G7" s="130">
        <f>Taux!G7</f>
        <v>0</v>
      </c>
      <c r="H7" s="131">
        <f>Taux!H7</f>
        <v>0</v>
      </c>
      <c r="I7" s="132">
        <f>Taux!I7</f>
        <v>0</v>
      </c>
      <c r="J7" s="238"/>
      <c r="O7" s="2" t="s">
        <v>189</v>
      </c>
      <c r="P7" s="130">
        <f>Taux!P7</f>
        <v>0</v>
      </c>
      <c r="Q7" s="132">
        <f>Taux!Q7</f>
        <v>0</v>
      </c>
    </row>
    <row r="8" spans="1:18" ht="16.5" thickTop="1" thickBot="1" x14ac:dyDescent="0.3">
      <c r="B8" t="s">
        <v>191</v>
      </c>
      <c r="C8" t="s">
        <v>191</v>
      </c>
      <c r="D8" t="s">
        <v>191</v>
      </c>
      <c r="G8" s="239" t="s">
        <v>192</v>
      </c>
      <c r="H8" s="240"/>
      <c r="I8" s="240"/>
      <c r="J8" s="231"/>
      <c r="L8" t="s">
        <v>191</v>
      </c>
    </row>
    <row r="9" spans="1:18" ht="16.5" thickTop="1" thickBot="1" x14ac:dyDescent="0.3">
      <c r="B9" s="154" t="str">
        <f>IF(OR(Calculator!B7="X",Calculator!B7="x"),B3,IF(OR(Calculator!B9="X",Calculator!B9="x"),B4,IF(OR(Calculator!B11="X",Calculator!B11="x"),B5,B6)))</f>
        <v>I am covered under my spouse’s insurance</v>
      </c>
      <c r="C9" s="142" t="str">
        <f>IF(OR(Calculator!Q7="X",Calculator!Q7="x"),C3,IF(OR(Calculator!Q9="X",Calculator!Q9="x"),C4,IF(OR(Calculator!Q11="X",Calculator!Q11="x"),C5,IF(OR(Calculator!Q13="X",Calculator!Q13="x"),C6,""))))</f>
        <v/>
      </c>
      <c r="D9" s="297" t="str">
        <f>IF(D6&lt;65,D3,IF(AND(D6&gt;=65,OR(Calculator!Q4="x",Calculator!Q4="X")),D4,D5))</f>
        <v>Participant under age 65</v>
      </c>
      <c r="E9" s="140"/>
      <c r="G9" s="232" t="s">
        <v>5</v>
      </c>
      <c r="H9" s="233" t="s">
        <v>6</v>
      </c>
      <c r="I9" s="233" t="s">
        <v>7</v>
      </c>
      <c r="J9" s="234"/>
      <c r="L9" s="139" t="str">
        <f>IF(OR(Calculator!B19="X",Calculator!B19="x"),L3,IF(OR(Calculator!B21="X",Calculator!B21="x"),L4,IF(OR(Calculator!B23="X",Calculator!B23="x"),L5,"")))</f>
        <v/>
      </c>
      <c r="M9" s="173"/>
    </row>
    <row r="10" spans="1:18" ht="16.5" thickTop="1" thickBot="1" x14ac:dyDescent="0.3">
      <c r="F10" s="2" t="s">
        <v>176</v>
      </c>
      <c r="G10" s="235">
        <f>Taux!G10</f>
        <v>22.32</v>
      </c>
      <c r="H10" s="236">
        <f>Taux!H10</f>
        <v>32.35</v>
      </c>
      <c r="I10" s="237">
        <f>Taux!I10</f>
        <v>41.41</v>
      </c>
      <c r="J10" s="234"/>
      <c r="L10" t="s">
        <v>193</v>
      </c>
      <c r="O10" s="2" t="s">
        <v>194</v>
      </c>
    </row>
    <row r="11" spans="1:18" ht="16.5" thickTop="1" thickBot="1" x14ac:dyDescent="0.3">
      <c r="F11" s="2" t="s">
        <v>179</v>
      </c>
      <c r="G11" s="128">
        <f>Taux!G11</f>
        <v>33.479999999999997</v>
      </c>
      <c r="H11" s="127">
        <f>Taux!H11</f>
        <v>48.53</v>
      </c>
      <c r="I11" s="129">
        <f>Taux!I11</f>
        <v>62.11</v>
      </c>
      <c r="J11" s="234"/>
      <c r="L11" s="134" t="b">
        <v>1</v>
      </c>
      <c r="O11" s="155">
        <f>IF(OR(L9=L3,L12=TRUE),0,IF(L9=L4,IF(C9=C3,P4,IF(C9=C4,P5,IF(C9=C5,P6,P7))),IF(AND(L9=L5,L11=TRUE),IF(C9=C3,Q4,IF(C9=C4,Q5,IF(C9=C5,Q6,Q7))),0)))</f>
        <v>0</v>
      </c>
    </row>
    <row r="12" spans="1:18" ht="16.5" thickTop="1" thickBot="1" x14ac:dyDescent="0.3">
      <c r="D12" s="111"/>
      <c r="F12" s="2" t="s">
        <v>184</v>
      </c>
      <c r="G12" s="128">
        <f>Taux!G12</f>
        <v>53.57</v>
      </c>
      <c r="H12" s="127">
        <f>Taux!H12</f>
        <v>77.64</v>
      </c>
      <c r="I12" s="129">
        <f>Taux!I12</f>
        <v>99.38</v>
      </c>
      <c r="J12" s="234"/>
      <c r="L12" s="135" t="b">
        <v>0</v>
      </c>
    </row>
    <row r="13" spans="1:18" ht="16.5" thickTop="1" thickBot="1" x14ac:dyDescent="0.3">
      <c r="F13" s="2" t="s">
        <v>189</v>
      </c>
      <c r="G13" s="130">
        <f>Taux!G13</f>
        <v>0</v>
      </c>
      <c r="H13" s="131">
        <f>Taux!H13</f>
        <v>0</v>
      </c>
      <c r="I13" s="132">
        <f>Taux!I13</f>
        <v>0</v>
      </c>
      <c r="J13" s="238"/>
    </row>
    <row r="14" spans="1:18" ht="16.5" thickTop="1" thickBot="1" x14ac:dyDescent="0.3">
      <c r="G14" s="239" t="s">
        <v>195</v>
      </c>
      <c r="H14" s="240"/>
      <c r="I14" s="240"/>
      <c r="J14" s="231"/>
      <c r="L14" s="192" t="s">
        <v>196</v>
      </c>
      <c r="P14" t="s">
        <v>197</v>
      </c>
      <c r="R14" t="s">
        <v>198</v>
      </c>
    </row>
    <row r="15" spans="1:18" ht="16.5" thickTop="1" thickBot="1" x14ac:dyDescent="0.3">
      <c r="G15" s="232" t="s">
        <v>5</v>
      </c>
      <c r="H15" s="233" t="s">
        <v>6</v>
      </c>
      <c r="I15" s="233" t="s">
        <v>7</v>
      </c>
      <c r="J15" s="234"/>
      <c r="L15" t="s">
        <v>199</v>
      </c>
      <c r="N15" t="s">
        <v>70</v>
      </c>
      <c r="P15" t="s">
        <v>200</v>
      </c>
      <c r="Q15" s="134">
        <f>Taux!Q15</f>
        <v>2.8400000000000002E-2</v>
      </c>
      <c r="R15" t="s">
        <v>201</v>
      </c>
    </row>
    <row r="16" spans="1:18" ht="15.75" thickTop="1" x14ac:dyDescent="0.25">
      <c r="B16" s="145">
        <f>G10+G16</f>
        <v>186.7</v>
      </c>
      <c r="C16" s="146">
        <f t="shared" ref="C16:D16" si="0">H10+H16</f>
        <v>196.73</v>
      </c>
      <c r="D16" s="147">
        <f t="shared" si="0"/>
        <v>205.79</v>
      </c>
      <c r="F16" s="2" t="s">
        <v>176</v>
      </c>
      <c r="G16" s="241">
        <f>Taux!G16</f>
        <v>164.38</v>
      </c>
      <c r="H16" s="156">
        <f>Taux!H16</f>
        <v>164.38</v>
      </c>
      <c r="I16" s="157">
        <f>Taux!I16</f>
        <v>164.38</v>
      </c>
      <c r="J16" s="234"/>
      <c r="L16" t="s">
        <v>202</v>
      </c>
      <c r="N16" s="111" t="s">
        <v>115</v>
      </c>
      <c r="P16" t="s">
        <v>203</v>
      </c>
      <c r="Q16" s="242">
        <f>Taux!Q16</f>
        <v>0.83499999999999996</v>
      </c>
      <c r="R16" t="s">
        <v>204</v>
      </c>
    </row>
    <row r="17" spans="2:19" ht="15.75" thickBot="1" x14ac:dyDescent="0.3">
      <c r="B17" s="148">
        <f t="shared" ref="B17:D17" si="1">G11+G17</f>
        <v>197.85999999999999</v>
      </c>
      <c r="C17" s="149">
        <f t="shared" si="1"/>
        <v>212.91</v>
      </c>
      <c r="D17" s="150">
        <f t="shared" si="1"/>
        <v>226.49</v>
      </c>
      <c r="F17" s="2" t="s">
        <v>179</v>
      </c>
      <c r="G17" s="243">
        <f>Taux!G17</f>
        <v>164.38</v>
      </c>
      <c r="H17" s="244">
        <f>Taux!H17</f>
        <v>164.38</v>
      </c>
      <c r="I17" s="245">
        <f>Taux!I17</f>
        <v>164.38</v>
      </c>
      <c r="J17" s="234"/>
      <c r="L17" t="s">
        <v>191</v>
      </c>
      <c r="N17" t="s">
        <v>205</v>
      </c>
      <c r="P17" t="s">
        <v>206</v>
      </c>
      <c r="Q17" s="242">
        <f>1000*ROUNDDOWN(Calculator!V60/1000,0)+IF(VALUE(RIGHT(Calculator!V60,3))&lt;250,0,IF(VALUE(RIGHT(Calculator!V60,3))&lt;750,500,1000))</f>
        <v>0</v>
      </c>
      <c r="R17" t="s">
        <v>207</v>
      </c>
    </row>
    <row r="18" spans="2:19" ht="16.5" thickTop="1" thickBot="1" x14ac:dyDescent="0.3">
      <c r="B18" s="148">
        <f t="shared" ref="B18:D18" si="2">G12+G18</f>
        <v>382.36</v>
      </c>
      <c r="C18" s="149">
        <f t="shared" si="2"/>
        <v>406.43</v>
      </c>
      <c r="D18" s="150">
        <f t="shared" si="2"/>
        <v>428.17</v>
      </c>
      <c r="F18" s="2" t="s">
        <v>184</v>
      </c>
      <c r="G18" s="243">
        <f>Taux!G18</f>
        <v>328.79</v>
      </c>
      <c r="H18" s="244">
        <f>Taux!H18</f>
        <v>328.79</v>
      </c>
      <c r="I18" s="245">
        <f>Taux!I18</f>
        <v>328.79</v>
      </c>
      <c r="J18" s="234"/>
      <c r="L18" s="142">
        <f>IF(OR(Calculator!B60="X",Calculator!B60="x"),L15,IF(OR(Calculator!B62="X",Calculator!B62="x"),L16,0))</f>
        <v>0</v>
      </c>
      <c r="N18" t="s">
        <v>148</v>
      </c>
      <c r="P18" t="s">
        <v>208</v>
      </c>
      <c r="Q18" s="135">
        <f>IF(L18=L15,IF(N21=N18,MAX(75000,Q17),IF(N21=N19,MAX(75000,2*Q17),IF(N21=N17,MAX(37500,0.5*Q17),IF(N21="10 000$",10000,)))),0)</f>
        <v>0</v>
      </c>
      <c r="R18" t="s">
        <v>191</v>
      </c>
    </row>
    <row r="19" spans="2:19" ht="16.5" thickTop="1" thickBot="1" x14ac:dyDescent="0.3">
      <c r="B19" s="151">
        <f t="shared" ref="B19:D19" si="3">G13+G19</f>
        <v>0</v>
      </c>
      <c r="C19" s="152">
        <f t="shared" si="3"/>
        <v>0</v>
      </c>
      <c r="D19" s="153">
        <f t="shared" si="3"/>
        <v>0</v>
      </c>
      <c r="F19" s="2" t="s">
        <v>189</v>
      </c>
      <c r="G19" s="246">
        <f>Taux!G19</f>
        <v>0</v>
      </c>
      <c r="H19" s="247">
        <f>Taux!H19</f>
        <v>0</v>
      </c>
      <c r="I19" s="248">
        <f>Taux!I19</f>
        <v>0</v>
      </c>
      <c r="J19" s="238"/>
      <c r="L19" t="s">
        <v>209</v>
      </c>
      <c r="N19" t="s">
        <v>149</v>
      </c>
      <c r="P19" t="s">
        <v>210</v>
      </c>
      <c r="R19" s="139" t="str">
        <f>IF(D6&lt;65,R15,IF(D6&gt;=70,R17,R16))</f>
        <v>Under age 65</v>
      </c>
      <c r="S19" s="173"/>
    </row>
    <row r="20" spans="2:19" ht="16.5" thickTop="1" thickBot="1" x14ac:dyDescent="0.3">
      <c r="L20" s="142">
        <f>IF(L18=L15,Q15,0)</f>
        <v>0</v>
      </c>
      <c r="N20" t="s">
        <v>211</v>
      </c>
    </row>
    <row r="21" spans="2:19" ht="16.5" thickTop="1" thickBot="1" x14ac:dyDescent="0.3">
      <c r="F21" s="2" t="s">
        <v>212</v>
      </c>
      <c r="L21" t="s">
        <v>213</v>
      </c>
      <c r="M21" s="249">
        <f>IF(L18=L16,0,ROUND(Q15*Q18/1000,2)+ROUND(Q16*25000/1000,2))</f>
        <v>20.88</v>
      </c>
      <c r="N21" s="172" t="str">
        <f>IF(AND(ISBLANK(Calculator!Q56),ISBLANK(Calculator!Q58)),"",IF(OR(Calculator!Q56="X",Calculator!Q56="x"),Calculator!S56,Calculator!S58))</f>
        <v/>
      </c>
      <c r="O21" s="172"/>
      <c r="P21" s="173"/>
      <c r="Q21">
        <f>IF(L18=L15,IF(N21="Une fois le salaire annuel",MAX(35000,Q17),IF(N21="Deux fois le salaire annuel",MAX(70000,2*Q17),IF(N21="La moitié du salaire annuel",MAX(17500,0.5*Q17),IF(N21="10 000$",10000,)))),0)</f>
        <v>0</v>
      </c>
      <c r="R21" s="111"/>
    </row>
    <row r="22" spans="2:19" ht="16.5" thickTop="1" thickBot="1" x14ac:dyDescent="0.3">
      <c r="F22" s="155">
        <f>IF(B9=B3,IF(C9=C3,IF(D9=D3,G4,IF(D9=D4,G10,G10+G16)),IF(C9=C4,IF(D9=D3,G5,IF(D9=D4,G11,G11+G17)),IF(C9=C5,IF(D9=D3,G6,IF(D9=D4,G12,G12+G18)),IF(D9=D3,G7,IF(D9=D4,G13,G13+G19))))),IF(B9=B4,IF(C9=C3,IF(D9=D3,H4,IF(D9=D4,H10,H10+H16)),IF(C9=C4,IF(D9=D3,H5,IF(D9=D4,H11,H11+H17)),IF(C9=C5,IF(D9=D3,H6,IF(D9=D4,H12,H12+H18)),IF(D9=D3,H7,IF(D9=D4,H13,H13+H19))))),IF(B9=B5,IF(C9=C3,IF(D9=D3,I4,IF(D9=D4,I10,I10+I16)),IF(C9=C4,IF(D9=D3,I5,IF(D9=D4,I11,I11+I17)),IF(C9=C5,IF(D9=D3,I6,IF(D9=D4,I12,I12+I18)),IF(D9=D3,I7,IF(D9=D4,I13,I13+I19))))),0)))</f>
        <v>0</v>
      </c>
    </row>
    <row r="23" spans="2:19" ht="16.5" thickTop="1" thickBot="1" x14ac:dyDescent="0.3">
      <c r="F23" s="2" t="s">
        <v>214</v>
      </c>
    </row>
    <row r="24" spans="2:19" ht="16.5" thickTop="1" thickBot="1" x14ac:dyDescent="0.3">
      <c r="F24" s="158">
        <f>26*F22</f>
        <v>0</v>
      </c>
      <c r="L24" s="192" t="s">
        <v>215</v>
      </c>
      <c r="P24" t="s">
        <v>197</v>
      </c>
    </row>
    <row r="25" spans="2:19" ht="16.5" thickTop="1" thickBot="1" x14ac:dyDescent="0.3">
      <c r="L25" t="s">
        <v>199</v>
      </c>
      <c r="P25" s="142">
        <f>'Nouveau taux'!M7</f>
        <v>0.29499999999999998</v>
      </c>
    </row>
    <row r="26" spans="2:19" ht="16.5" thickTop="1" thickBot="1" x14ac:dyDescent="0.3">
      <c r="F26" t="s">
        <v>217</v>
      </c>
      <c r="G26" t="s">
        <v>218</v>
      </c>
      <c r="I26" s="192" t="s">
        <v>219</v>
      </c>
      <c r="L26" t="s">
        <v>202</v>
      </c>
    </row>
    <row r="27" spans="2:19" ht="16.5" thickTop="1" thickBot="1" x14ac:dyDescent="0.3">
      <c r="F27" s="139">
        <f>IF(OR(Calculator!B42="X",Calculator!B42="x"),Calculator!D42,IF(OR(Calculator!B34="X",Calculator!B34="x"),Calculator!D34,IF(OR(Calculator!B36="X",Calculator!B36="x"),Calculator!D36,IF(OR(Calculator!B38="X",Calculator!B38="x"),Calculator!D38,IF(OR(Calculator!B40="X",Calculator!B40="x"),Calculator!D40,0)))))</f>
        <v>0</v>
      </c>
      <c r="G27" s="173" t="e">
        <f>IF(Calculator!O36="",VLOOKUP(F27,Taux_courte_anglais,2,FALSE),0)</f>
        <v>#N/A</v>
      </c>
      <c r="I27" t="s">
        <v>220</v>
      </c>
      <c r="K27" t="s">
        <v>221</v>
      </c>
      <c r="L27" t="s">
        <v>191</v>
      </c>
    </row>
    <row r="28" spans="2:19" ht="16.5" thickTop="1" thickBot="1" x14ac:dyDescent="0.3">
      <c r="I28" t="s">
        <v>199</v>
      </c>
      <c r="K28" s="139">
        <f>Taux!K28</f>
        <v>0.44</v>
      </c>
      <c r="L28" s="173" t="str">
        <f>IF(OR(Calculator!B73="X",Calculator!B73="x"),L25,L26)</f>
        <v>No</v>
      </c>
    </row>
    <row r="29" spans="2:19" ht="16.5" thickTop="1" thickBot="1" x14ac:dyDescent="0.3">
      <c r="I29" t="s">
        <v>202</v>
      </c>
      <c r="L29" t="s">
        <v>194</v>
      </c>
    </row>
    <row r="30" spans="2:19" ht="16.5" thickTop="1" thickBot="1" x14ac:dyDescent="0.3">
      <c r="I30" t="s">
        <v>191</v>
      </c>
      <c r="L30" s="142">
        <f>IF(AND(L28=L25,L18=L15),P25,0)</f>
        <v>0</v>
      </c>
    </row>
    <row r="31" spans="2:19" ht="16.5" thickTop="1" thickBot="1" x14ac:dyDescent="0.3">
      <c r="B31" s="316" t="s">
        <v>216</v>
      </c>
      <c r="C31" s="317" t="s">
        <v>222</v>
      </c>
      <c r="E31" s="2"/>
      <c r="F31" s="1"/>
      <c r="I31">
        <f>IF(OR(Calculator!B47="X",Calculator!B47="x"),Calculator!D47,IF(OR(Calculator!B49="X",Calculator!B49="x"),Calculator!D49,0))</f>
        <v>0</v>
      </c>
    </row>
    <row r="32" spans="2:19" ht="16.5" thickTop="1" thickBot="1" x14ac:dyDescent="0.3">
      <c r="B32" s="310" t="s">
        <v>267</v>
      </c>
      <c r="C32" s="311">
        <f>Courte_Laval</f>
        <v>0.27900000000000003</v>
      </c>
      <c r="E32" s="2"/>
      <c r="F32" s="393"/>
      <c r="I32" t="s">
        <v>209</v>
      </c>
      <c r="L32" t="s">
        <v>223</v>
      </c>
    </row>
    <row r="33" spans="2:23" ht="16.5" thickTop="1" thickBot="1" x14ac:dyDescent="0.3">
      <c r="B33" s="312" t="s">
        <v>140</v>
      </c>
      <c r="C33" s="313">
        <f>Courte_LaSalle</f>
        <v>0.5</v>
      </c>
      <c r="E33" s="2"/>
      <c r="F33" s="393"/>
      <c r="I33" s="142">
        <f>IF(I31=I28,K28,0)</f>
        <v>0</v>
      </c>
      <c r="L33" s="211" t="s">
        <v>224</v>
      </c>
    </row>
    <row r="34" spans="2:23" ht="15.75" thickTop="1" x14ac:dyDescent="0.25">
      <c r="B34" s="312" t="s">
        <v>293</v>
      </c>
      <c r="C34" s="313">
        <f>Courte_Trinité</f>
        <v>0.56999999999999995</v>
      </c>
      <c r="E34" s="2"/>
      <c r="F34" s="393"/>
      <c r="L34" s="211" t="s">
        <v>291</v>
      </c>
    </row>
    <row r="35" spans="2:23" ht="15.75" thickBot="1" x14ac:dyDescent="0.3">
      <c r="B35" s="312" t="s">
        <v>305</v>
      </c>
      <c r="C35" s="313">
        <f>Taux!C34</f>
        <v>0.113</v>
      </c>
      <c r="E35" s="2"/>
      <c r="F35" s="393"/>
      <c r="L35" s="192" t="s">
        <v>225</v>
      </c>
      <c r="P35" t="s">
        <v>226</v>
      </c>
      <c r="R35" s="1" t="s">
        <v>281</v>
      </c>
      <c r="V35" t="s">
        <v>227</v>
      </c>
    </row>
    <row r="36" spans="2:23" ht="15.75" thickTop="1" x14ac:dyDescent="0.25">
      <c r="B36" s="312" t="s">
        <v>298</v>
      </c>
      <c r="C36" s="313">
        <f>Courte_Les_autres</f>
        <v>0.46800000000000003</v>
      </c>
      <c r="E36" s="2"/>
      <c r="F36" s="394"/>
      <c r="L36" s="192" t="s">
        <v>228</v>
      </c>
      <c r="N36" s="1" t="s">
        <v>229</v>
      </c>
      <c r="Q36" s="513" t="s">
        <v>230</v>
      </c>
      <c r="R36" s="514"/>
      <c r="S36" s="514" t="s">
        <v>231</v>
      </c>
      <c r="T36" s="515"/>
      <c r="V36" s="250">
        <v>0</v>
      </c>
      <c r="W36" s="251">
        <v>0</v>
      </c>
    </row>
    <row r="37" spans="2:23" ht="15.75" thickBot="1" x14ac:dyDescent="0.3">
      <c r="B37" s="314" t="s">
        <v>141</v>
      </c>
      <c r="C37" s="315">
        <f>Taux!C36</f>
        <v>0</v>
      </c>
      <c r="E37" s="2"/>
      <c r="F37" s="394"/>
      <c r="L37" t="s">
        <v>199</v>
      </c>
      <c r="N37" t="s">
        <v>199</v>
      </c>
      <c r="P37" t="s">
        <v>232</v>
      </c>
      <c r="Q37" s="175" t="s">
        <v>233</v>
      </c>
      <c r="R37" s="176" t="s">
        <v>234</v>
      </c>
      <c r="S37" s="176" t="s">
        <v>233</v>
      </c>
      <c r="T37" s="177" t="s">
        <v>234</v>
      </c>
      <c r="V37" s="252">
        <v>20000</v>
      </c>
      <c r="W37" s="253">
        <v>25000</v>
      </c>
    </row>
    <row r="38" spans="2:23" ht="15.75" thickTop="1" x14ac:dyDescent="0.25">
      <c r="L38" t="s">
        <v>202</v>
      </c>
      <c r="N38" t="s">
        <v>202</v>
      </c>
      <c r="P38" t="s">
        <v>235</v>
      </c>
      <c r="Q38" s="426">
        <f>Taux!Q38</f>
        <v>8.9999999999999993E-3</v>
      </c>
      <c r="R38" s="427">
        <f>Taux!R38</f>
        <v>1.2999999999999999E-2</v>
      </c>
      <c r="S38" s="427">
        <f>Taux!S38</f>
        <v>5.0000000000000001E-3</v>
      </c>
      <c r="T38" s="428">
        <f>Taux!T38</f>
        <v>6.0000000000000001E-3</v>
      </c>
      <c r="V38" s="254">
        <f>V37+20000</f>
        <v>40000</v>
      </c>
      <c r="W38" s="255">
        <f>W37+25000</f>
        <v>50000</v>
      </c>
    </row>
    <row r="39" spans="2:23" ht="15.75" thickBot="1" x14ac:dyDescent="0.3">
      <c r="B39" s="1"/>
      <c r="C39" s="1"/>
      <c r="L39" t="s">
        <v>191</v>
      </c>
      <c r="N39" t="s">
        <v>191</v>
      </c>
      <c r="P39" t="s">
        <v>236</v>
      </c>
      <c r="Q39" s="243">
        <f>Taux!Q39</f>
        <v>8.9999999999999993E-3</v>
      </c>
      <c r="R39" s="244">
        <f>Taux!R39</f>
        <v>1.2999999999999999E-2</v>
      </c>
      <c r="S39" s="244">
        <f>Taux!S39</f>
        <v>5.0000000000000001E-3</v>
      </c>
      <c r="T39" s="245">
        <f>Taux!T39</f>
        <v>6.0000000000000001E-3</v>
      </c>
      <c r="V39" s="254">
        <f t="shared" ref="V39:V43" si="4">V38+20000</f>
        <v>60000</v>
      </c>
      <c r="W39" s="255">
        <f t="shared" ref="W39:W46" si="5">W38+25000</f>
        <v>75000</v>
      </c>
    </row>
    <row r="40" spans="2:23" ht="16.5" thickTop="1" thickBot="1" x14ac:dyDescent="0.3">
      <c r="C40" s="392"/>
      <c r="L40" s="142" t="str">
        <f>IF(OR(Calculator!B83="X",Calculator!B83="x"),L37,L38)</f>
        <v>No</v>
      </c>
      <c r="N40" s="142" t="str">
        <f>IF(OR(Calculator!B100="X",Calculator!B100="x"),N37,N38)</f>
        <v>No</v>
      </c>
      <c r="P40" t="s">
        <v>237</v>
      </c>
      <c r="Q40" s="243">
        <f>Taux!Q40</f>
        <v>8.9999999999999993E-3</v>
      </c>
      <c r="R40" s="244">
        <f>Taux!R40</f>
        <v>1.2999999999999999E-2</v>
      </c>
      <c r="S40" s="244">
        <f>Taux!S40</f>
        <v>5.0000000000000001E-3</v>
      </c>
      <c r="T40" s="245">
        <f>Taux!T40</f>
        <v>6.0000000000000001E-3</v>
      </c>
      <c r="V40" s="254">
        <f t="shared" si="4"/>
        <v>80000</v>
      </c>
      <c r="W40" s="255">
        <f t="shared" si="5"/>
        <v>100000</v>
      </c>
    </row>
    <row r="41" spans="2:23" ht="15.75" thickTop="1" x14ac:dyDescent="0.25">
      <c r="C41" s="392"/>
      <c r="P41" t="s">
        <v>238</v>
      </c>
      <c r="Q41" s="243">
        <f>Taux!Q41</f>
        <v>1.2E-2</v>
      </c>
      <c r="R41" s="244">
        <f>Taux!R41</f>
        <v>1.4999999999999999E-2</v>
      </c>
      <c r="S41" s="244">
        <f>Taux!S41</f>
        <v>6.0000000000000001E-3</v>
      </c>
      <c r="T41" s="245">
        <f>Taux!T41</f>
        <v>7.0000000000000001E-3</v>
      </c>
      <c r="V41" s="254">
        <f t="shared" si="4"/>
        <v>100000</v>
      </c>
      <c r="W41" s="255">
        <f t="shared" si="5"/>
        <v>125000</v>
      </c>
    </row>
    <row r="42" spans="2:23" x14ac:dyDescent="0.25">
      <c r="C42" s="392"/>
      <c r="L42" t="s">
        <v>239</v>
      </c>
      <c r="N42" t="s">
        <v>239</v>
      </c>
      <c r="P42" t="s">
        <v>240</v>
      </c>
      <c r="Q42" s="243">
        <f>Taux!Q42</f>
        <v>1.7000000000000001E-2</v>
      </c>
      <c r="R42" s="244">
        <f>Taux!R42</f>
        <v>2.5000000000000001E-2</v>
      </c>
      <c r="S42" s="244">
        <f>Taux!S42</f>
        <v>8.9999999999999993E-3</v>
      </c>
      <c r="T42" s="245">
        <f>Taux!T42</f>
        <v>1.2999999999999999E-2</v>
      </c>
      <c r="V42" s="254">
        <f t="shared" si="4"/>
        <v>120000</v>
      </c>
      <c r="W42" s="255">
        <f t="shared" si="5"/>
        <v>150000</v>
      </c>
    </row>
    <row r="43" spans="2:23" ht="15.75" thickBot="1" x14ac:dyDescent="0.3">
      <c r="C43" s="392"/>
      <c r="L43" t="s">
        <v>230</v>
      </c>
      <c r="N43" t="s">
        <v>230</v>
      </c>
      <c r="P43" t="s">
        <v>241</v>
      </c>
      <c r="Q43" s="243">
        <f>Taux!Q43</f>
        <v>2.8000000000000001E-2</v>
      </c>
      <c r="R43" s="244">
        <f>Taux!R43</f>
        <v>0.04</v>
      </c>
      <c r="S43" s="244">
        <f>Taux!S43</f>
        <v>1.2999999999999999E-2</v>
      </c>
      <c r="T43" s="245">
        <f>Taux!T43</f>
        <v>1.9E-2</v>
      </c>
      <c r="V43" s="256">
        <f t="shared" si="4"/>
        <v>140000</v>
      </c>
      <c r="W43" s="255">
        <f t="shared" si="5"/>
        <v>175000</v>
      </c>
    </row>
    <row r="44" spans="2:23" ht="15.75" thickTop="1" x14ac:dyDescent="0.25">
      <c r="C44" s="392"/>
      <c r="L44" t="s">
        <v>231</v>
      </c>
      <c r="N44" t="s">
        <v>231</v>
      </c>
      <c r="P44" t="s">
        <v>242</v>
      </c>
      <c r="Q44" s="243">
        <f>Taux!Q44</f>
        <v>4.2000000000000003E-2</v>
      </c>
      <c r="R44" s="244">
        <f>Taux!R44</f>
        <v>6.3E-2</v>
      </c>
      <c r="S44" s="244">
        <f>Taux!S44</f>
        <v>2.4E-2</v>
      </c>
      <c r="T44" s="245">
        <f>Taux!T44</f>
        <v>2.9000000000000001E-2</v>
      </c>
      <c r="V44" t="s">
        <v>243</v>
      </c>
      <c r="W44" s="164">
        <f t="shared" si="5"/>
        <v>200000</v>
      </c>
    </row>
    <row r="45" spans="2:23" ht="15.75" thickBot="1" x14ac:dyDescent="0.3">
      <c r="B45" s="309"/>
      <c r="C45" s="392"/>
      <c r="L45" t="s">
        <v>191</v>
      </c>
      <c r="N45" s="211" t="s">
        <v>266</v>
      </c>
      <c r="P45" t="s">
        <v>244</v>
      </c>
      <c r="Q45" s="243">
        <f>Taux!Q45</f>
        <v>6.7000000000000004E-2</v>
      </c>
      <c r="R45" s="244">
        <f>Taux!R45</f>
        <v>0.104</v>
      </c>
      <c r="S45" s="244">
        <f>Taux!S45</f>
        <v>3.5999999999999997E-2</v>
      </c>
      <c r="T45" s="245">
        <f>Taux!T45</f>
        <v>5.7000000000000002E-2</v>
      </c>
      <c r="V45" s="191">
        <f>Calculator!X83</f>
        <v>0</v>
      </c>
      <c r="W45" s="164">
        <f t="shared" si="5"/>
        <v>225000</v>
      </c>
    </row>
    <row r="46" spans="2:23" ht="16.5" thickTop="1" thickBot="1" x14ac:dyDescent="0.3">
      <c r="L46" s="142" t="str">
        <f>IF(OR(Calculator!I85="X",Calculator!I85="x"),L44,L43)</f>
        <v>Male</v>
      </c>
      <c r="N46" s="142" t="str">
        <f>IF(OR(Calculator!I100="X",Calculator!I100="x"),N43,N44)</f>
        <v>Female</v>
      </c>
      <c r="P46" t="s">
        <v>245</v>
      </c>
      <c r="Q46" s="243">
        <f>Taux!Q46</f>
        <v>0.113</v>
      </c>
      <c r="R46" s="244">
        <f>Taux!R46</f>
        <v>0.16400000000000001</v>
      </c>
      <c r="S46" s="244">
        <f>Taux!S46</f>
        <v>5.6000000000000001E-2</v>
      </c>
      <c r="T46" s="245">
        <f>Taux!T46</f>
        <v>8.4000000000000005E-2</v>
      </c>
      <c r="V46" t="s">
        <v>246</v>
      </c>
      <c r="W46" s="165">
        <f t="shared" si="5"/>
        <v>250000</v>
      </c>
    </row>
    <row r="47" spans="2:23" ht="16.5" thickTop="1" thickBot="1" x14ac:dyDescent="0.3">
      <c r="P47" t="s">
        <v>247</v>
      </c>
      <c r="Q47" s="243">
        <f>Taux!Q47</f>
        <v>0.156</v>
      </c>
      <c r="R47" s="244">
        <f>Taux!R47</f>
        <v>0.255</v>
      </c>
      <c r="S47" s="244">
        <f>Taux!S47</f>
        <v>8.7999999999999995E-2</v>
      </c>
      <c r="T47" s="245">
        <f>Taux!T47</f>
        <v>0.13100000000000001</v>
      </c>
      <c r="V47" s="191">
        <f>Calculator!X100</f>
        <v>0</v>
      </c>
      <c r="W47" t="s">
        <v>243</v>
      </c>
    </row>
    <row r="48" spans="2:23" ht="16.5" thickTop="1" thickBot="1" x14ac:dyDescent="0.3">
      <c r="L48" t="s">
        <v>248</v>
      </c>
      <c r="N48" t="s">
        <v>248</v>
      </c>
      <c r="P48" t="s">
        <v>356</v>
      </c>
      <c r="Q48" s="243">
        <f>Taux!Q48</f>
        <v>0.27600000000000002</v>
      </c>
      <c r="R48" s="244">
        <f>Taux!R48</f>
        <v>0.39600000000000002</v>
      </c>
      <c r="S48" s="244">
        <f>Taux!S48</f>
        <v>0.14299999999999999</v>
      </c>
      <c r="T48" s="245">
        <f>Taux!T48</f>
        <v>0.184</v>
      </c>
      <c r="W48" s="155">
        <f>Calculator!X90</f>
        <v>0</v>
      </c>
    </row>
    <row r="49" spans="12:23" ht="16.5" thickTop="1" thickBot="1" x14ac:dyDescent="0.3">
      <c r="L49" t="s">
        <v>159</v>
      </c>
      <c r="N49" t="s">
        <v>159</v>
      </c>
      <c r="P49" t="s">
        <v>357</v>
      </c>
      <c r="Q49" s="246">
        <f>Taux!Q49</f>
        <v>0.627</v>
      </c>
      <c r="R49" s="247">
        <f>Taux!R49</f>
        <v>0.67300000000000004</v>
      </c>
      <c r="S49" s="247">
        <f>Taux!S49</f>
        <v>0.376</v>
      </c>
      <c r="T49" s="248">
        <f>Taux!T49</f>
        <v>0.39600000000000002</v>
      </c>
      <c r="W49" t="s">
        <v>246</v>
      </c>
    </row>
    <row r="50" spans="12:23" ht="16.5" thickTop="1" thickBot="1" x14ac:dyDescent="0.3">
      <c r="L50" t="s">
        <v>161</v>
      </c>
      <c r="N50" t="s">
        <v>161</v>
      </c>
      <c r="P50" t="s">
        <v>249</v>
      </c>
      <c r="W50" s="155">
        <f>Calculator!X107</f>
        <v>0</v>
      </c>
    </row>
    <row r="51" spans="12:23" ht="16.5" thickTop="1" thickBot="1" x14ac:dyDescent="0.3">
      <c r="L51" t="s">
        <v>159</v>
      </c>
      <c r="N51" t="s">
        <v>159</v>
      </c>
      <c r="P51" s="142" t="e">
        <f>VLOOKUP(Calculator!B92,$O$59:$P$143,2,FALSE)</f>
        <v>#N/A</v>
      </c>
      <c r="R51" t="s">
        <v>251</v>
      </c>
    </row>
    <row r="52" spans="12:23" ht="16.5" thickTop="1" thickBot="1" x14ac:dyDescent="0.3">
      <c r="L52" t="s">
        <v>161</v>
      </c>
      <c r="N52" t="s">
        <v>161</v>
      </c>
      <c r="P52" t="s">
        <v>252</v>
      </c>
      <c r="R52" s="142">
        <f>IF(ISERROR(P51),0,IF(AND(L40=L37,L18=L15,IF(R19=R15,N21=N19,IF(R19=R16,N21=N18,IF(R19=R17,N21=N16,FALSE)))),VLOOKUP(P51,P38:T49,M54,FALSE),0))</f>
        <v>0</v>
      </c>
    </row>
    <row r="53" spans="12:23" ht="16.5" thickTop="1" thickBot="1" x14ac:dyDescent="0.3">
      <c r="L53" t="s">
        <v>191</v>
      </c>
      <c r="N53" t="s">
        <v>191</v>
      </c>
      <c r="P53" s="142" t="e">
        <f>VLOOKUP(Calculator!B109,$O$59:$P$110,2,FALSE)</f>
        <v>#N/A</v>
      </c>
      <c r="R53" t="s">
        <v>253</v>
      </c>
    </row>
    <row r="54" spans="12:23" ht="16.5" thickTop="1" thickBot="1" x14ac:dyDescent="0.3">
      <c r="L54" s="257" t="str">
        <f>IF(OR(Calculator!I90="X",Calculator!I90="x"),Calculator!K90,Calculator!K92)</f>
        <v>Smoker</v>
      </c>
      <c r="M54" s="258">
        <f>IF(AND(L46=L43,OR(L54=L49,L54=L51)),2,IF(AND(L46=L43,OR(L54=L50,L54=L52)),3,IF(AND(L46=L44,OR(L54=L49,L54=L51)),4,5)))</f>
        <v>3</v>
      </c>
      <c r="N54" s="258" t="str">
        <f>IF(OR(Calculator!I107="X",Calculator!I107="x"),Calculator!K107,Calculator!K109)</f>
        <v>Smoker</v>
      </c>
      <c r="O54" s="259">
        <f>IF(AND(N46=N43,OR(N54=N49,N54=N51)),2,IF(AND(N46=N43,OR(N54=N50,N54=N52)),3,IF(AND(N46=N44,OR(N54=N49,N54=N51)),4,5)))</f>
        <v>5</v>
      </c>
      <c r="R54" s="142">
        <f>IF(ISERROR(P53),0,IF(AND(N40=N37,L28=L25,L18=L15),VLOOKUP(P53,P38:T47,O54,FALSE),0))</f>
        <v>0</v>
      </c>
    </row>
    <row r="55" spans="12:23" ht="15.75" thickTop="1" x14ac:dyDescent="0.25">
      <c r="R55" s="111"/>
    </row>
    <row r="56" spans="12:23" x14ac:dyDescent="0.25">
      <c r="L56" t="s">
        <v>254</v>
      </c>
    </row>
    <row r="57" spans="12:23" x14ac:dyDescent="0.25">
      <c r="L57" t="s">
        <v>255</v>
      </c>
    </row>
    <row r="58" spans="12:23" ht="15.75" thickBot="1" x14ac:dyDescent="0.3"/>
    <row r="59" spans="12:23" ht="15.75" thickTop="1" x14ac:dyDescent="0.25">
      <c r="O59" s="180">
        <v>18</v>
      </c>
      <c r="P59" s="182" t="s">
        <v>256</v>
      </c>
    </row>
    <row r="60" spans="12:23" x14ac:dyDescent="0.25">
      <c r="O60" s="260">
        <v>19</v>
      </c>
      <c r="P60" s="261" t="s">
        <v>256</v>
      </c>
    </row>
    <row r="61" spans="12:23" x14ac:dyDescent="0.25">
      <c r="O61" s="260">
        <v>20</v>
      </c>
      <c r="P61" s="261" t="s">
        <v>256</v>
      </c>
    </row>
    <row r="62" spans="12:23" x14ac:dyDescent="0.25">
      <c r="O62" s="260">
        <v>21</v>
      </c>
      <c r="P62" s="261" t="s">
        <v>256</v>
      </c>
    </row>
    <row r="63" spans="12:23" x14ac:dyDescent="0.25">
      <c r="O63" s="260">
        <v>22</v>
      </c>
      <c r="P63" s="261" t="s">
        <v>256</v>
      </c>
    </row>
    <row r="64" spans="12:23" x14ac:dyDescent="0.25">
      <c r="O64" s="260">
        <v>23</v>
      </c>
      <c r="P64" s="261" t="s">
        <v>256</v>
      </c>
    </row>
    <row r="65" spans="15:16" x14ac:dyDescent="0.25">
      <c r="O65" s="260">
        <v>24</v>
      </c>
      <c r="P65" s="261" t="s">
        <v>256</v>
      </c>
    </row>
    <row r="66" spans="15:16" x14ac:dyDescent="0.25">
      <c r="O66" s="260">
        <v>25</v>
      </c>
      <c r="P66" s="261" t="s">
        <v>257</v>
      </c>
    </row>
    <row r="67" spans="15:16" x14ac:dyDescent="0.25">
      <c r="O67" s="260">
        <v>26</v>
      </c>
      <c r="P67" s="261" t="s">
        <v>257</v>
      </c>
    </row>
    <row r="68" spans="15:16" x14ac:dyDescent="0.25">
      <c r="O68" s="260">
        <v>27</v>
      </c>
      <c r="P68" s="261" t="s">
        <v>257</v>
      </c>
    </row>
    <row r="69" spans="15:16" x14ac:dyDescent="0.25">
      <c r="O69" s="260">
        <v>28</v>
      </c>
      <c r="P69" s="261" t="s">
        <v>257</v>
      </c>
    </row>
    <row r="70" spans="15:16" x14ac:dyDescent="0.25">
      <c r="O70" s="260">
        <v>29</v>
      </c>
      <c r="P70" s="261" t="s">
        <v>257</v>
      </c>
    </row>
    <row r="71" spans="15:16" x14ac:dyDescent="0.25">
      <c r="O71" s="260">
        <v>30</v>
      </c>
      <c r="P71" s="261" t="s">
        <v>258</v>
      </c>
    </row>
    <row r="72" spans="15:16" x14ac:dyDescent="0.25">
      <c r="O72" s="260">
        <v>31</v>
      </c>
      <c r="P72" s="261" t="s">
        <v>258</v>
      </c>
    </row>
    <row r="73" spans="15:16" x14ac:dyDescent="0.25">
      <c r="O73" s="260">
        <v>32</v>
      </c>
      <c r="P73" s="261" t="s">
        <v>258</v>
      </c>
    </row>
    <row r="74" spans="15:16" x14ac:dyDescent="0.25">
      <c r="O74" s="260">
        <v>33</v>
      </c>
      <c r="P74" s="261" t="s">
        <v>258</v>
      </c>
    </row>
    <row r="75" spans="15:16" x14ac:dyDescent="0.25">
      <c r="O75" s="260">
        <v>34</v>
      </c>
      <c r="P75" s="261" t="s">
        <v>258</v>
      </c>
    </row>
    <row r="76" spans="15:16" x14ac:dyDescent="0.25">
      <c r="O76" s="260">
        <v>35</v>
      </c>
      <c r="P76" s="261" t="s">
        <v>259</v>
      </c>
    </row>
    <row r="77" spans="15:16" x14ac:dyDescent="0.25">
      <c r="O77" s="260">
        <v>36</v>
      </c>
      <c r="P77" s="261" t="s">
        <v>259</v>
      </c>
    </row>
    <row r="78" spans="15:16" x14ac:dyDescent="0.25">
      <c r="O78" s="260">
        <v>37</v>
      </c>
      <c r="P78" s="261" t="s">
        <v>259</v>
      </c>
    </row>
    <row r="79" spans="15:16" x14ac:dyDescent="0.25">
      <c r="O79" s="260">
        <v>38</v>
      </c>
      <c r="P79" s="261" t="s">
        <v>259</v>
      </c>
    </row>
    <row r="80" spans="15:16" x14ac:dyDescent="0.25">
      <c r="O80" s="260">
        <v>39</v>
      </c>
      <c r="P80" s="261" t="s">
        <v>259</v>
      </c>
    </row>
    <row r="81" spans="15:16" x14ac:dyDescent="0.25">
      <c r="O81" s="260">
        <v>40</v>
      </c>
      <c r="P81" s="261" t="s">
        <v>260</v>
      </c>
    </row>
    <row r="82" spans="15:16" x14ac:dyDescent="0.25">
      <c r="O82" s="260">
        <v>41</v>
      </c>
      <c r="P82" s="261" t="s">
        <v>260</v>
      </c>
    </row>
    <row r="83" spans="15:16" x14ac:dyDescent="0.25">
      <c r="O83" s="260">
        <v>42</v>
      </c>
      <c r="P83" s="261" t="s">
        <v>260</v>
      </c>
    </row>
    <row r="84" spans="15:16" x14ac:dyDescent="0.25">
      <c r="O84" s="260">
        <v>43</v>
      </c>
      <c r="P84" s="261" t="s">
        <v>260</v>
      </c>
    </row>
    <row r="85" spans="15:16" x14ac:dyDescent="0.25">
      <c r="O85" s="260">
        <v>44</v>
      </c>
      <c r="P85" s="261" t="s">
        <v>260</v>
      </c>
    </row>
    <row r="86" spans="15:16" x14ac:dyDescent="0.25">
      <c r="O86" s="260">
        <v>45</v>
      </c>
      <c r="P86" s="261" t="s">
        <v>250</v>
      </c>
    </row>
    <row r="87" spans="15:16" x14ac:dyDescent="0.25">
      <c r="O87" s="260">
        <v>46</v>
      </c>
      <c r="P87" s="261" t="s">
        <v>250</v>
      </c>
    </row>
    <row r="88" spans="15:16" x14ac:dyDescent="0.25">
      <c r="O88" s="260">
        <v>47</v>
      </c>
      <c r="P88" s="261" t="s">
        <v>250</v>
      </c>
    </row>
    <row r="89" spans="15:16" x14ac:dyDescent="0.25">
      <c r="O89" s="260">
        <v>48</v>
      </c>
      <c r="P89" s="261" t="s">
        <v>250</v>
      </c>
    </row>
    <row r="90" spans="15:16" x14ac:dyDescent="0.25">
      <c r="O90" s="260">
        <v>49</v>
      </c>
      <c r="P90" s="261" t="s">
        <v>250</v>
      </c>
    </row>
    <row r="91" spans="15:16" x14ac:dyDescent="0.25">
      <c r="O91" s="260">
        <v>50</v>
      </c>
      <c r="P91" s="261" t="s">
        <v>261</v>
      </c>
    </row>
    <row r="92" spans="15:16" x14ac:dyDescent="0.25">
      <c r="O92" s="260">
        <v>51</v>
      </c>
      <c r="P92" s="261" t="s">
        <v>261</v>
      </c>
    </row>
    <row r="93" spans="15:16" x14ac:dyDescent="0.25">
      <c r="O93" s="260">
        <v>52</v>
      </c>
      <c r="P93" s="261" t="s">
        <v>261</v>
      </c>
    </row>
    <row r="94" spans="15:16" x14ac:dyDescent="0.25">
      <c r="O94" s="260">
        <v>53</v>
      </c>
      <c r="P94" s="261" t="s">
        <v>261</v>
      </c>
    </row>
    <row r="95" spans="15:16" x14ac:dyDescent="0.25">
      <c r="O95" s="260">
        <v>54</v>
      </c>
      <c r="P95" s="261" t="s">
        <v>261</v>
      </c>
    </row>
    <row r="96" spans="15:16" x14ac:dyDescent="0.25">
      <c r="O96" s="260">
        <v>55</v>
      </c>
      <c r="P96" s="261" t="s">
        <v>262</v>
      </c>
    </row>
    <row r="97" spans="15:16" x14ac:dyDescent="0.25">
      <c r="O97" s="260">
        <v>56</v>
      </c>
      <c r="P97" s="261" t="s">
        <v>262</v>
      </c>
    </row>
    <row r="98" spans="15:16" x14ac:dyDescent="0.25">
      <c r="O98" s="260">
        <v>57</v>
      </c>
      <c r="P98" s="261" t="s">
        <v>262</v>
      </c>
    </row>
    <row r="99" spans="15:16" x14ac:dyDescent="0.25">
      <c r="O99" s="260">
        <v>58</v>
      </c>
      <c r="P99" s="261" t="s">
        <v>262</v>
      </c>
    </row>
    <row r="100" spans="15:16" x14ac:dyDescent="0.25">
      <c r="O100" s="260">
        <v>59</v>
      </c>
      <c r="P100" s="261" t="s">
        <v>262</v>
      </c>
    </row>
    <row r="101" spans="15:16" x14ac:dyDescent="0.25">
      <c r="O101" s="260">
        <v>60</v>
      </c>
      <c r="P101" s="261" t="s">
        <v>263</v>
      </c>
    </row>
    <row r="102" spans="15:16" x14ac:dyDescent="0.25">
      <c r="O102" s="260">
        <v>61</v>
      </c>
      <c r="P102" s="261" t="s">
        <v>263</v>
      </c>
    </row>
    <row r="103" spans="15:16" x14ac:dyDescent="0.25">
      <c r="O103" s="260">
        <v>62</v>
      </c>
      <c r="P103" s="261" t="s">
        <v>263</v>
      </c>
    </row>
    <row r="104" spans="15:16" x14ac:dyDescent="0.25">
      <c r="O104" s="260">
        <v>63</v>
      </c>
      <c r="P104" s="261" t="s">
        <v>263</v>
      </c>
    </row>
    <row r="105" spans="15:16" x14ac:dyDescent="0.25">
      <c r="O105" s="260">
        <v>64</v>
      </c>
      <c r="P105" s="261" t="s">
        <v>263</v>
      </c>
    </row>
    <row r="106" spans="15:16" x14ac:dyDescent="0.25">
      <c r="O106" s="260">
        <v>65</v>
      </c>
      <c r="P106" s="261" t="s">
        <v>264</v>
      </c>
    </row>
    <row r="107" spans="15:16" x14ac:dyDescent="0.25">
      <c r="O107" s="260">
        <v>66</v>
      </c>
      <c r="P107" s="261" t="s">
        <v>264</v>
      </c>
    </row>
    <row r="108" spans="15:16" x14ac:dyDescent="0.25">
      <c r="O108" s="260">
        <v>67</v>
      </c>
      <c r="P108" s="261" t="s">
        <v>264</v>
      </c>
    </row>
    <row r="109" spans="15:16" x14ac:dyDescent="0.25">
      <c r="O109" s="260">
        <v>68</v>
      </c>
      <c r="P109" s="261" t="s">
        <v>264</v>
      </c>
    </row>
    <row r="110" spans="15:16" x14ac:dyDescent="0.25">
      <c r="O110" s="260">
        <v>69</v>
      </c>
      <c r="P110" s="261" t="s">
        <v>264</v>
      </c>
    </row>
    <row r="111" spans="15:16" x14ac:dyDescent="0.25">
      <c r="O111" s="260">
        <v>70</v>
      </c>
      <c r="P111" s="261" t="s">
        <v>356</v>
      </c>
    </row>
    <row r="112" spans="15:16" x14ac:dyDescent="0.25">
      <c r="O112" s="260">
        <v>71</v>
      </c>
      <c r="P112" s="261" t="s">
        <v>356</v>
      </c>
    </row>
    <row r="113" spans="15:16" x14ac:dyDescent="0.25">
      <c r="O113" s="260">
        <v>72</v>
      </c>
      <c r="P113" s="261" t="s">
        <v>356</v>
      </c>
    </row>
    <row r="114" spans="15:16" x14ac:dyDescent="0.25">
      <c r="O114" s="260">
        <v>73</v>
      </c>
      <c r="P114" s="261" t="s">
        <v>356</v>
      </c>
    </row>
    <row r="115" spans="15:16" x14ac:dyDescent="0.25">
      <c r="O115" s="260">
        <v>74</v>
      </c>
      <c r="P115" s="261" t="s">
        <v>356</v>
      </c>
    </row>
    <row r="116" spans="15:16" x14ac:dyDescent="0.25">
      <c r="O116" s="260">
        <v>75</v>
      </c>
      <c r="P116" s="261" t="s">
        <v>357</v>
      </c>
    </row>
    <row r="117" spans="15:16" x14ac:dyDescent="0.25">
      <c r="O117" s="260">
        <v>76</v>
      </c>
      <c r="P117" s="261" t="s">
        <v>357</v>
      </c>
    </row>
    <row r="118" spans="15:16" x14ac:dyDescent="0.25">
      <c r="O118" s="260">
        <v>77</v>
      </c>
      <c r="P118" s="261" t="s">
        <v>357</v>
      </c>
    </row>
    <row r="119" spans="15:16" x14ac:dyDescent="0.25">
      <c r="O119" s="260">
        <v>78</v>
      </c>
      <c r="P119" s="261" t="s">
        <v>357</v>
      </c>
    </row>
    <row r="120" spans="15:16" x14ac:dyDescent="0.25">
      <c r="O120" s="260">
        <v>79</v>
      </c>
      <c r="P120" s="261" t="s">
        <v>357</v>
      </c>
    </row>
    <row r="121" spans="15:16" x14ac:dyDescent="0.25">
      <c r="O121" s="260">
        <v>80</v>
      </c>
      <c r="P121" s="261" t="s">
        <v>357</v>
      </c>
    </row>
    <row r="122" spans="15:16" x14ac:dyDescent="0.25">
      <c r="O122" s="260">
        <v>81</v>
      </c>
      <c r="P122" s="261" t="s">
        <v>357</v>
      </c>
    </row>
    <row r="123" spans="15:16" x14ac:dyDescent="0.25">
      <c r="O123" s="260">
        <v>82</v>
      </c>
      <c r="P123" s="261" t="s">
        <v>357</v>
      </c>
    </row>
    <row r="124" spans="15:16" x14ac:dyDescent="0.25">
      <c r="O124" s="260">
        <v>83</v>
      </c>
      <c r="P124" s="261" t="s">
        <v>357</v>
      </c>
    </row>
    <row r="125" spans="15:16" x14ac:dyDescent="0.25">
      <c r="O125" s="260">
        <v>84</v>
      </c>
      <c r="P125" s="261" t="s">
        <v>357</v>
      </c>
    </row>
    <row r="126" spans="15:16" x14ac:dyDescent="0.25">
      <c r="O126" s="260">
        <v>85</v>
      </c>
      <c r="P126" s="261" t="s">
        <v>357</v>
      </c>
    </row>
    <row r="127" spans="15:16" x14ac:dyDescent="0.25">
      <c r="O127" s="260">
        <v>86</v>
      </c>
      <c r="P127" s="261" t="s">
        <v>357</v>
      </c>
    </row>
    <row r="128" spans="15:16" x14ac:dyDescent="0.25">
      <c r="O128" s="260">
        <v>87</v>
      </c>
      <c r="P128" s="261" t="s">
        <v>357</v>
      </c>
    </row>
    <row r="129" spans="15:16" x14ac:dyDescent="0.25">
      <c r="O129" s="260">
        <v>88</v>
      </c>
      <c r="P129" s="261" t="s">
        <v>357</v>
      </c>
    </row>
    <row r="130" spans="15:16" x14ac:dyDescent="0.25">
      <c r="O130" s="260">
        <v>89</v>
      </c>
      <c r="P130" s="261" t="s">
        <v>357</v>
      </c>
    </row>
    <row r="131" spans="15:16" x14ac:dyDescent="0.25">
      <c r="O131" s="260">
        <v>90</v>
      </c>
      <c r="P131" s="261" t="s">
        <v>357</v>
      </c>
    </row>
    <row r="132" spans="15:16" x14ac:dyDescent="0.25">
      <c r="O132" s="260">
        <v>91</v>
      </c>
      <c r="P132" s="261" t="s">
        <v>357</v>
      </c>
    </row>
    <row r="133" spans="15:16" x14ac:dyDescent="0.25">
      <c r="O133" s="260">
        <v>92</v>
      </c>
      <c r="P133" s="261" t="s">
        <v>357</v>
      </c>
    </row>
    <row r="134" spans="15:16" x14ac:dyDescent="0.25">
      <c r="O134" s="260">
        <v>93</v>
      </c>
      <c r="P134" s="261" t="s">
        <v>357</v>
      </c>
    </row>
    <row r="135" spans="15:16" x14ac:dyDescent="0.25">
      <c r="O135" s="260">
        <v>94</v>
      </c>
      <c r="P135" s="261" t="s">
        <v>357</v>
      </c>
    </row>
    <row r="136" spans="15:16" x14ac:dyDescent="0.25">
      <c r="O136" s="260">
        <v>95</v>
      </c>
      <c r="P136" s="261" t="s">
        <v>357</v>
      </c>
    </row>
    <row r="137" spans="15:16" x14ac:dyDescent="0.25">
      <c r="O137" s="260">
        <v>96</v>
      </c>
      <c r="P137" s="261" t="s">
        <v>357</v>
      </c>
    </row>
    <row r="138" spans="15:16" x14ac:dyDescent="0.25">
      <c r="O138" s="260">
        <v>97</v>
      </c>
      <c r="P138" s="261" t="s">
        <v>357</v>
      </c>
    </row>
    <row r="139" spans="15:16" x14ac:dyDescent="0.25">
      <c r="O139" s="260">
        <v>98</v>
      </c>
      <c r="P139" s="261" t="s">
        <v>357</v>
      </c>
    </row>
    <row r="140" spans="15:16" x14ac:dyDescent="0.25">
      <c r="O140" s="260">
        <v>99</v>
      </c>
      <c r="P140" s="261" t="s">
        <v>357</v>
      </c>
    </row>
    <row r="141" spans="15:16" x14ac:dyDescent="0.25">
      <c r="O141" s="260">
        <v>100</v>
      </c>
      <c r="P141" s="261" t="s">
        <v>357</v>
      </c>
    </row>
    <row r="142" spans="15:16" x14ac:dyDescent="0.25">
      <c r="O142" s="260">
        <v>101</v>
      </c>
      <c r="P142" s="261" t="s">
        <v>357</v>
      </c>
    </row>
    <row r="143" spans="15:16" ht="15.75" thickBot="1" x14ac:dyDescent="0.3">
      <c r="O143" s="262">
        <v>102</v>
      </c>
      <c r="P143" s="263" t="s">
        <v>357</v>
      </c>
    </row>
    <row r="144" spans="15:16" ht="15.75" thickTop="1" x14ac:dyDescent="0.25"/>
  </sheetData>
  <sortState xmlns:xlrd2="http://schemas.microsoft.com/office/spreadsheetml/2017/richdata2" ref="B32:C35">
    <sortCondition ref="B31"/>
  </sortState>
  <mergeCells count="2">
    <mergeCell ref="Q36:R36"/>
    <mergeCell ref="S36:T36"/>
  </mergeCells>
  <phoneticPr fontId="29" type="noConversion"/>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85760AAE69EF949901F1BADAF9940DF" ma:contentTypeVersion="3" ma:contentTypeDescription="Crée un document." ma:contentTypeScope="" ma:versionID="6d65deeb237f22bc9a4b01ed878d1e08">
  <xsd:schema xmlns:xsd="http://www.w3.org/2001/XMLSchema" xmlns:xs="http://www.w3.org/2001/XMLSchema" xmlns:p="http://schemas.microsoft.com/office/2006/metadata/properties" xmlns:ns2="88444031-6deb-444f-8939-5ac02c44aeae" targetNamespace="http://schemas.microsoft.com/office/2006/metadata/properties" ma:root="true" ma:fieldsID="fe8a560ada9b0490a470f92416e90eb5" ns2:_="">
    <xsd:import namespace="88444031-6deb-444f-8939-5ac02c44aeae"/>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444031-6deb-444f-8939-5ac02c44ae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FD9162-B168-4D60-91D6-B9057383613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60598B4-CA86-4476-B209-3D8564469529}">
  <ds:schemaRefs>
    <ds:schemaRef ds:uri="http://schemas.microsoft.com/sharepoint/v3/contenttype/forms"/>
  </ds:schemaRefs>
</ds:datastoreItem>
</file>

<file path=customXml/itemProps3.xml><?xml version="1.0" encoding="utf-8"?>
<ds:datastoreItem xmlns:ds="http://schemas.openxmlformats.org/officeDocument/2006/customXml" ds:itemID="{0EFC6150-9097-4F58-8F61-7CE8CD4BF4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444031-6deb-444f-8939-5ac02c44ae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7</vt:i4>
      </vt:variant>
    </vt:vector>
  </HeadingPairs>
  <TitlesOfParts>
    <vt:vector size="12" baseType="lpstr">
      <vt:lpstr>Calculateur</vt:lpstr>
      <vt:lpstr>Calculator</vt:lpstr>
      <vt:lpstr>Nouveau taux</vt:lpstr>
      <vt:lpstr>Taux</vt:lpstr>
      <vt:lpstr>Taux anglais</vt:lpstr>
      <vt:lpstr>Courte_LaSalle</vt:lpstr>
      <vt:lpstr>Courte_Laval</vt:lpstr>
      <vt:lpstr>Courte_Les_autres</vt:lpstr>
      <vt:lpstr>Courte_Trinité</vt:lpstr>
      <vt:lpstr>Taux_courte</vt:lpstr>
      <vt:lpstr>Taux_courte_anglais</vt:lpstr>
      <vt:lpstr>Calculateur!Zone_d_impression</vt:lpstr>
    </vt:vector>
  </TitlesOfParts>
  <Company>CSN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Yves Sabourin</dc:creator>
  <cp:lastModifiedBy>Marie-Hélène Paquet</cp:lastModifiedBy>
  <cp:lastPrinted>2014-11-03T22:35:13Z</cp:lastPrinted>
  <dcterms:created xsi:type="dcterms:W3CDTF">2012-08-16T15:50:10Z</dcterms:created>
  <dcterms:modified xsi:type="dcterms:W3CDTF">2025-10-13T20:42:16Z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0x010100A85760AAE69EF949901F1BADAF9940DF</vt:lpwstr>
  </property>
</Properties>
</file>